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Inversió inicial" sheetId="1" r:id="rId1"/>
    <sheet name="Taula total amortització" sheetId="4" r:id="rId2"/>
  </sheets>
  <calcPr calcId="145621"/>
</workbook>
</file>

<file path=xl/calcChain.xml><?xml version="1.0" encoding="utf-8"?>
<calcChain xmlns="http://schemas.openxmlformats.org/spreadsheetml/2006/main">
  <c r="E52" i="4" l="1"/>
  <c r="E5" i="4"/>
  <c r="L55" i="4" l="1"/>
  <c r="L56" i="4"/>
  <c r="L57" i="4"/>
  <c r="L58" i="4"/>
  <c r="L59" i="4"/>
  <c r="L60" i="4"/>
  <c r="L61" i="4"/>
  <c r="L62" i="4"/>
  <c r="L63" i="4"/>
  <c r="L54" i="4"/>
  <c r="K55" i="4"/>
  <c r="K56" i="4"/>
  <c r="K57" i="4"/>
  <c r="K58" i="4"/>
  <c r="K59" i="4"/>
  <c r="K60" i="4"/>
  <c r="K61" i="4"/>
  <c r="K62" i="4"/>
  <c r="K63" i="4"/>
  <c r="K54" i="4"/>
  <c r="J55" i="4"/>
  <c r="J56" i="4"/>
  <c r="J57" i="4"/>
  <c r="J58" i="4"/>
  <c r="J59" i="4"/>
  <c r="J60" i="4"/>
  <c r="J61" i="4"/>
  <c r="J62" i="4"/>
  <c r="J63" i="4"/>
  <c r="J54" i="4"/>
  <c r="H55" i="4"/>
  <c r="H56" i="4"/>
  <c r="H57" i="4"/>
  <c r="H58" i="4"/>
  <c r="H59" i="4"/>
  <c r="H60" i="4"/>
  <c r="H61" i="4"/>
  <c r="H62" i="4"/>
  <c r="H63" i="4"/>
  <c r="H54" i="4"/>
  <c r="G55" i="4"/>
  <c r="G56" i="4"/>
  <c r="G57" i="4"/>
  <c r="G58" i="4"/>
  <c r="G59" i="4"/>
  <c r="G60" i="4"/>
  <c r="G61" i="4"/>
  <c r="G62" i="4"/>
  <c r="G63" i="4"/>
  <c r="G54" i="4"/>
  <c r="J1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K32" i="4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J32" i="4"/>
  <c r="J33" i="4"/>
  <c r="J34" i="4"/>
  <c r="J35" i="4"/>
  <c r="H32" i="4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G32" i="4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J31" i="4"/>
  <c r="J8" i="4"/>
  <c r="J9" i="4"/>
  <c r="J10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7" i="4"/>
  <c r="L7" i="4" s="1"/>
  <c r="K8" i="4"/>
  <c r="K9" i="4" s="1"/>
  <c r="H7" i="4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E8" i="4"/>
  <c r="E9" i="4" s="1"/>
  <c r="E10" i="4" s="1"/>
  <c r="E7" i="4"/>
  <c r="L8" i="4"/>
  <c r="F38" i="4" l="1"/>
  <c r="F54" i="4"/>
  <c r="K10" i="4"/>
  <c r="L9" i="4"/>
  <c r="L10" i="4"/>
  <c r="K11" i="4"/>
  <c r="I7" i="4"/>
  <c r="M7" i="4" s="1"/>
  <c r="I8" i="4"/>
  <c r="M8" i="4" s="1"/>
  <c r="E11" i="4"/>
  <c r="I10" i="4"/>
  <c r="I9" i="4"/>
  <c r="M9" i="4" l="1"/>
  <c r="M10" i="4" s="1"/>
  <c r="F39" i="4"/>
  <c r="F55" i="4"/>
  <c r="L11" i="4"/>
  <c r="K12" i="4"/>
  <c r="E12" i="4"/>
  <c r="I11" i="4"/>
  <c r="Y9" i="1"/>
  <c r="Y8" i="1"/>
  <c r="Y7" i="1"/>
  <c r="Y6" i="1"/>
  <c r="Y5" i="1"/>
  <c r="J9" i="1"/>
  <c r="J10" i="1"/>
  <c r="J11" i="1"/>
  <c r="J12" i="1"/>
  <c r="M11" i="4" l="1"/>
  <c r="F40" i="4"/>
  <c r="F56" i="4"/>
  <c r="L12" i="4"/>
  <c r="K13" i="4"/>
  <c r="E13" i="4"/>
  <c r="I12" i="4"/>
  <c r="Y10" i="1"/>
  <c r="Y11" i="1" s="1"/>
  <c r="Y12" i="1" s="1"/>
  <c r="T9" i="1"/>
  <c r="T10" i="1"/>
  <c r="T8" i="1"/>
  <c r="T7" i="1"/>
  <c r="T6" i="1"/>
  <c r="T5" i="1"/>
  <c r="O15" i="1"/>
  <c r="O18" i="1"/>
  <c r="O14" i="1"/>
  <c r="O16" i="1"/>
  <c r="O17" i="1"/>
  <c r="O21" i="1" s="1"/>
  <c r="C25" i="1" s="1"/>
  <c r="O19" i="1"/>
  <c r="O20" i="1"/>
  <c r="O13" i="1"/>
  <c r="O12" i="1"/>
  <c r="E9" i="1"/>
  <c r="O9" i="1"/>
  <c r="E10" i="1"/>
  <c r="O10" i="1"/>
  <c r="E11" i="1"/>
  <c r="O11" i="1"/>
  <c r="O8" i="1"/>
  <c r="O7" i="1"/>
  <c r="O6" i="1"/>
  <c r="O5" i="1"/>
  <c r="J8" i="1"/>
  <c r="J7" i="1"/>
  <c r="J13" i="1" s="1"/>
  <c r="J6" i="1"/>
  <c r="J5" i="1"/>
  <c r="E6" i="1"/>
  <c r="E7" i="1"/>
  <c r="E8" i="1"/>
  <c r="E5" i="1"/>
  <c r="M12" i="4" l="1"/>
  <c r="F41" i="4"/>
  <c r="F57" i="4"/>
  <c r="C26" i="1"/>
  <c r="C27" i="1" s="1"/>
  <c r="K14" i="4"/>
  <c r="L13" i="4"/>
  <c r="E14" i="4"/>
  <c r="I13" i="4"/>
  <c r="O22" i="1"/>
  <c r="E12" i="1"/>
  <c r="E13" i="1" s="1"/>
  <c r="E14" i="1" s="1"/>
  <c r="M13" i="4" l="1"/>
  <c r="F42" i="4"/>
  <c r="F58" i="4"/>
  <c r="L14" i="4"/>
  <c r="K15" i="4"/>
  <c r="E15" i="4"/>
  <c r="I14" i="4"/>
  <c r="O23" i="1"/>
  <c r="T11" i="1"/>
  <c r="T12" i="1" s="1"/>
  <c r="I15" i="4" l="1"/>
  <c r="E16" i="4"/>
  <c r="M14" i="4"/>
  <c r="F43" i="4"/>
  <c r="F59" i="4"/>
  <c r="L15" i="4"/>
  <c r="K16" i="4"/>
  <c r="T13" i="1"/>
  <c r="J14" i="1"/>
  <c r="J15" i="1" s="1"/>
  <c r="F44" i="4" l="1"/>
  <c r="F60" i="4"/>
  <c r="M15" i="4"/>
  <c r="E17" i="4"/>
  <c r="I16" i="4"/>
  <c r="L16" i="4"/>
  <c r="K17" i="4"/>
  <c r="I17" i="4" l="1"/>
  <c r="E18" i="4"/>
  <c r="M16" i="4"/>
  <c r="F45" i="4"/>
  <c r="F61" i="4"/>
  <c r="K18" i="4"/>
  <c r="L17" i="4"/>
  <c r="F46" i="4" l="1"/>
  <c r="F63" i="4" s="1"/>
  <c r="F62" i="4"/>
  <c r="E19" i="4"/>
  <c r="I18" i="4"/>
  <c r="M17" i="4"/>
  <c r="L18" i="4"/>
  <c r="M18" i="4" s="1"/>
  <c r="K19" i="4"/>
  <c r="E20" i="4" l="1"/>
  <c r="I19" i="4"/>
  <c r="L19" i="4"/>
  <c r="K20" i="4"/>
  <c r="M19" i="4" l="1"/>
  <c r="I20" i="4"/>
  <c r="E21" i="4"/>
  <c r="L20" i="4"/>
  <c r="K21" i="4"/>
  <c r="E22" i="4" l="1"/>
  <c r="I21" i="4"/>
  <c r="M20" i="4"/>
  <c r="K22" i="4"/>
  <c r="L21" i="4"/>
  <c r="M21" i="4" l="1"/>
  <c r="E23" i="4"/>
  <c r="I22" i="4"/>
  <c r="L22" i="4"/>
  <c r="K23" i="4"/>
  <c r="M22" i="4" l="1"/>
  <c r="E24" i="4"/>
  <c r="I23" i="4"/>
  <c r="L23" i="4"/>
  <c r="K24" i="4"/>
  <c r="M23" i="4" l="1"/>
  <c r="I24" i="4"/>
  <c r="E25" i="4"/>
  <c r="K25" i="4"/>
  <c r="L24" i="4"/>
  <c r="I25" i="4" l="1"/>
  <c r="E26" i="4"/>
  <c r="M24" i="4"/>
  <c r="L25" i="4"/>
  <c r="K26" i="4"/>
  <c r="M25" i="4" l="1"/>
  <c r="E27" i="4"/>
  <c r="I26" i="4"/>
  <c r="L26" i="4"/>
  <c r="K27" i="4"/>
  <c r="M26" i="4" l="1"/>
  <c r="E28" i="4"/>
  <c r="I27" i="4"/>
  <c r="L27" i="4"/>
  <c r="K28" i="4"/>
  <c r="M27" i="4" l="1"/>
  <c r="I28" i="4"/>
  <c r="E29" i="4"/>
  <c r="K29" i="4"/>
  <c r="L28" i="4"/>
  <c r="I29" i="4" l="1"/>
  <c r="E30" i="4"/>
  <c r="M28" i="4"/>
  <c r="K30" i="4"/>
  <c r="L29" i="4"/>
  <c r="M29" i="4" l="1"/>
  <c r="I30" i="4"/>
  <c r="E31" i="4"/>
  <c r="K31" i="4"/>
  <c r="L31" i="4" s="1"/>
  <c r="L30" i="4"/>
  <c r="I31" i="4" l="1"/>
  <c r="E32" i="4"/>
  <c r="M30" i="4"/>
  <c r="M31" i="4" s="1"/>
  <c r="E33" i="4" l="1"/>
  <c r="I32" i="4"/>
  <c r="M32" i="4" s="1"/>
  <c r="E34" i="4" l="1"/>
  <c r="I33" i="4"/>
  <c r="M33" i="4" s="1"/>
  <c r="E35" i="4" l="1"/>
  <c r="I34" i="4"/>
  <c r="M34" i="4" s="1"/>
  <c r="E36" i="4" l="1"/>
  <c r="I35" i="4"/>
  <c r="M35" i="4" s="1"/>
  <c r="E37" i="4" l="1"/>
  <c r="I36" i="4"/>
  <c r="M36" i="4" s="1"/>
  <c r="E54" i="4" l="1"/>
  <c r="E38" i="4"/>
  <c r="I37" i="4"/>
  <c r="I54" i="4" s="1"/>
  <c r="E39" i="4" l="1"/>
  <c r="I38" i="4"/>
  <c r="I55" i="4" s="1"/>
  <c r="E55" i="4"/>
  <c r="M37" i="4"/>
  <c r="M38" i="4" l="1"/>
  <c r="M54" i="4"/>
  <c r="E40" i="4"/>
  <c r="I39" i="4"/>
  <c r="I56" i="4" s="1"/>
  <c r="E56" i="4"/>
  <c r="E41" i="4" l="1"/>
  <c r="I40" i="4"/>
  <c r="I57" i="4" s="1"/>
  <c r="E57" i="4"/>
  <c r="M39" i="4"/>
  <c r="M55" i="4"/>
  <c r="M40" i="4" l="1"/>
  <c r="M56" i="4"/>
  <c r="E42" i="4"/>
  <c r="E58" i="4"/>
  <c r="I41" i="4"/>
  <c r="I58" i="4" s="1"/>
  <c r="E43" i="4" l="1"/>
  <c r="E59" i="4"/>
  <c r="I42" i="4"/>
  <c r="I59" i="4" s="1"/>
  <c r="M41" i="4"/>
  <c r="M57" i="4"/>
  <c r="M42" i="4" l="1"/>
  <c r="M58" i="4"/>
  <c r="E44" i="4"/>
  <c r="E60" i="4"/>
  <c r="I43" i="4"/>
  <c r="I60" i="4" s="1"/>
  <c r="E45" i="4" l="1"/>
  <c r="E61" i="4"/>
  <c r="I44" i="4"/>
  <c r="I61" i="4" s="1"/>
  <c r="M43" i="4"/>
  <c r="M59" i="4"/>
  <c r="M44" i="4" l="1"/>
  <c r="M60" i="4"/>
  <c r="E46" i="4"/>
  <c r="I45" i="4"/>
  <c r="I62" i="4" s="1"/>
  <c r="E62" i="4"/>
  <c r="E63" i="4" l="1"/>
  <c r="I46" i="4"/>
  <c r="I63" i="4" s="1"/>
  <c r="M45" i="4"/>
  <c r="M61" i="4"/>
  <c r="M46" i="4" l="1"/>
  <c r="M63" i="4" s="1"/>
  <c r="M62" i="4"/>
</calcChain>
</file>

<file path=xl/sharedStrings.xml><?xml version="1.0" encoding="utf-8"?>
<sst xmlns="http://schemas.openxmlformats.org/spreadsheetml/2006/main" count="130" uniqueCount="82">
  <si>
    <t>Descripció</t>
  </si>
  <si>
    <t>Quantitat</t>
  </si>
  <si>
    <t>Costos</t>
  </si>
  <si>
    <t>Beneficis</t>
  </si>
  <si>
    <t>Anys</t>
  </si>
  <si>
    <t>Sensors</t>
  </si>
  <si>
    <t>Sensor detecció RL31-8-H</t>
  </si>
  <si>
    <t>Sensor de nivell MS8F</t>
  </si>
  <si>
    <t>Sensor de velocitat Gearbox</t>
  </si>
  <si>
    <t>Sensor de temperatura Pt-100</t>
  </si>
  <si>
    <t>Sensor de potència o corrent 1003AM2</t>
  </si>
  <si>
    <t>Preu unitat (€)</t>
  </si>
  <si>
    <t>Import (€)</t>
  </si>
  <si>
    <t>Sensor del factor de potència</t>
  </si>
  <si>
    <t>Total sense IVA</t>
  </si>
  <si>
    <t>IVA 21%</t>
  </si>
  <si>
    <t>Total amb IVA</t>
  </si>
  <si>
    <t>Sensor de corrent CSLA 1CF</t>
  </si>
  <si>
    <t>Màquines</t>
  </si>
  <si>
    <t>Aparellatge</t>
  </si>
  <si>
    <t>Relé sobretensió SIEMENS 5TT3</t>
  </si>
  <si>
    <t>Relé sincronisme M200PLL SENSOVANT</t>
  </si>
  <si>
    <t>Turbina Francis HL260</t>
  </si>
  <si>
    <t>Generador síncron Wawushan HI-110</t>
  </si>
  <si>
    <t>Transformador SIEMENS IUC010</t>
  </si>
  <si>
    <t>Grup hidràulic</t>
  </si>
  <si>
    <t>Contactor ABB de 750 A</t>
  </si>
  <si>
    <t>Contactor Schneider de 400 A</t>
  </si>
  <si>
    <t>Relé tèrmic de 400 A</t>
  </si>
  <si>
    <t>Protector del motor EATON</t>
  </si>
  <si>
    <t>Fusibles Bussmann de 700 A</t>
  </si>
  <si>
    <t>Relé de freqüència PHD</t>
  </si>
  <si>
    <t xml:space="preserve">Disjuntor DRIESCHER de MT </t>
  </si>
  <si>
    <t>Seccionador 3CJ2 de MT</t>
  </si>
  <si>
    <t>Alarma</t>
  </si>
  <si>
    <t>Bateria de condensadors</t>
  </si>
  <si>
    <t>Bateria de subministrament de corrent</t>
  </si>
  <si>
    <t>Absorbidor d'ones</t>
  </si>
  <si>
    <t>Polsador d'emergència</t>
  </si>
  <si>
    <t>Comptador d'energia activa trifàsica</t>
  </si>
  <si>
    <t>PLC i cablejat</t>
  </si>
  <si>
    <r>
      <t>Cable tripolar AFUMEX 1,5 mm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, 1 m</t>
    </r>
  </si>
  <si>
    <r>
      <t>Cable tripolar AFUMEX 2,5 mm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, 1 m</t>
    </r>
  </si>
  <si>
    <r>
      <t>Cable tripolar AFUMEX 6 mm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, 1 m</t>
    </r>
  </si>
  <si>
    <r>
      <t>Cable tripolar AFUMEX 185 mm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, 1 m</t>
    </r>
  </si>
  <si>
    <r>
      <t>Cable tripolar AFUMEX 400 mm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, 1 m</t>
    </r>
  </si>
  <si>
    <t>Interruptor magnetotèrmic HAGER de 10 A</t>
  </si>
  <si>
    <t>Interruptor magnetotèrmic HAGER de 16 A</t>
  </si>
  <si>
    <t>Interruptor diferencial HAGER de 30 mA</t>
  </si>
  <si>
    <t>Mà d'obra</t>
  </si>
  <si>
    <t>Instal·lació</t>
  </si>
  <si>
    <t xml:space="preserve">Disseny del sistema </t>
  </si>
  <si>
    <t>Programació</t>
  </si>
  <si>
    <t>Comprovació</t>
  </si>
  <si>
    <t>Cost total inversió sense IVA</t>
  </si>
  <si>
    <t>Cost total inversió amb IVA</t>
  </si>
  <si>
    <t>Energia
anual (kWh)</t>
  </si>
  <si>
    <t>Condicionants segons el període</t>
  </si>
  <si>
    <t>Concepte</t>
  </si>
  <si>
    <t xml:space="preserve">Increment </t>
  </si>
  <si>
    <t>Període</t>
  </si>
  <si>
    <t>Preu Manteniment
instal·lació (€)</t>
  </si>
  <si>
    <t>Reserva
(€)</t>
  </si>
  <si>
    <t>de la inversió</t>
  </si>
  <si>
    <t>any anterior</t>
  </si>
  <si>
    <t>Reserva 1er any</t>
  </si>
  <si>
    <t>Manteniment 1er any</t>
  </si>
  <si>
    <t>Manteniment anys següents</t>
  </si>
  <si>
    <t>Reserva anys següents</t>
  </si>
  <si>
    <t xml:space="preserve">Peatge o impostos </t>
  </si>
  <si>
    <t xml:space="preserve">Canon aigua de l'ACA </t>
  </si>
  <si>
    <t xml:space="preserve">Energia generada </t>
  </si>
  <si>
    <t>Balanç final
(€)</t>
  </si>
  <si>
    <t>Inversió 
inicial (€)</t>
  </si>
  <si>
    <t>Beneficis
anuals (€)</t>
  </si>
  <si>
    <t>Preu kWh 
generat 
(€)</t>
  </si>
  <si>
    <t>Costos
anuals (€)</t>
  </si>
  <si>
    <t>Cànon 
aigua de l'ACA (€)</t>
  </si>
  <si>
    <t>Peatge o 
impostos 
(€)</t>
  </si>
  <si>
    <t>Any 
real</t>
  </si>
  <si>
    <t>Transformador+rectificador 230V ac/24V dc</t>
  </si>
  <si>
    <t>PLC SIEMENS SIMATIC S7-200 CPU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</si>
</sst>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0" fontId="3" fillId="0" borderId="1" xfId="0" applyFont="1" applyBorder="1" applyAlignment="1">
      <alignment vertical="center"/>
    </xf>
    <xf numFmtId="4" fontId="2" fillId="0" borderId="1" xfId="0" applyNumberFormat="1" applyFont="1" applyBorder="1"/>
    <xf numFmtId="0" fontId="3" fillId="0" borderId="1" xfId="0" applyFont="1" applyBorder="1"/>
    <xf numFmtId="4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3"/>
  <sheetViews>
    <sheetView tabSelected="1" topLeftCell="I1" workbookViewId="0">
      <selection activeCell="Q15" sqref="Q15"/>
    </sheetView>
  </sheetViews>
  <sheetFormatPr baseColWidth="10" defaultRowHeight="15" x14ac:dyDescent="0.25"/>
  <cols>
    <col min="1" max="1" width="5.7109375" customWidth="1"/>
    <col min="2" max="2" width="28.5703125" bestFit="1" customWidth="1"/>
    <col min="3" max="3" width="11.28515625" bestFit="1" customWidth="1"/>
    <col min="4" max="4" width="12" bestFit="1" customWidth="1"/>
    <col min="6" max="6" width="5.7109375" customWidth="1"/>
    <col min="7" max="7" width="27.7109375" bestFit="1" customWidth="1"/>
    <col min="8" max="8" width="8" bestFit="1" customWidth="1"/>
    <col min="9" max="9" width="12" bestFit="1" customWidth="1"/>
    <col min="11" max="11" width="5.7109375" customWidth="1"/>
    <col min="12" max="12" width="32.28515625" bestFit="1" customWidth="1"/>
    <col min="13" max="13" width="8" bestFit="1" customWidth="1"/>
    <col min="14" max="14" width="12" bestFit="1" customWidth="1"/>
    <col min="15" max="15" width="8.7109375" bestFit="1" customWidth="1"/>
    <col min="16" max="16" width="5.7109375" customWidth="1"/>
    <col min="17" max="17" width="28.5703125" bestFit="1" customWidth="1"/>
    <col min="18" max="18" width="8" bestFit="1" customWidth="1"/>
    <col min="19" max="19" width="12" bestFit="1" customWidth="1"/>
    <col min="20" max="20" width="8.7109375" bestFit="1" customWidth="1"/>
    <col min="21" max="21" width="5.7109375" customWidth="1"/>
    <col min="22" max="22" width="26.42578125" bestFit="1" customWidth="1"/>
  </cols>
  <sheetData>
    <row r="3" spans="2:27" x14ac:dyDescent="0.25">
      <c r="B3" s="55" t="s">
        <v>5</v>
      </c>
      <c r="C3" s="56"/>
      <c r="D3" s="56"/>
      <c r="E3" s="57"/>
      <c r="G3" s="55" t="s">
        <v>18</v>
      </c>
      <c r="H3" s="56"/>
      <c r="I3" s="56"/>
      <c r="J3" s="57"/>
      <c r="L3" s="55" t="s">
        <v>19</v>
      </c>
      <c r="M3" s="56"/>
      <c r="N3" s="56"/>
      <c r="O3" s="57"/>
      <c r="Q3" s="55" t="s">
        <v>40</v>
      </c>
      <c r="R3" s="56"/>
      <c r="S3" s="56"/>
      <c r="T3" s="57"/>
      <c r="V3" s="55" t="s">
        <v>49</v>
      </c>
      <c r="W3" s="56"/>
      <c r="X3" s="56"/>
      <c r="Y3" s="57"/>
    </row>
    <row r="4" spans="2:27" x14ac:dyDescent="0.25">
      <c r="B4" s="27" t="s">
        <v>0</v>
      </c>
      <c r="C4" s="27" t="s">
        <v>1</v>
      </c>
      <c r="D4" s="27" t="s">
        <v>11</v>
      </c>
      <c r="E4" s="27" t="s">
        <v>12</v>
      </c>
      <c r="G4" s="27" t="s">
        <v>0</v>
      </c>
      <c r="H4" s="27" t="s">
        <v>1</v>
      </c>
      <c r="I4" s="27" t="s">
        <v>11</v>
      </c>
      <c r="J4" s="27" t="s">
        <v>12</v>
      </c>
      <c r="L4" s="27" t="s">
        <v>0</v>
      </c>
      <c r="M4" s="27" t="s">
        <v>1</v>
      </c>
      <c r="N4" s="27" t="s">
        <v>11</v>
      </c>
      <c r="O4" s="27" t="s">
        <v>12</v>
      </c>
      <c r="Q4" s="27" t="s">
        <v>0</v>
      </c>
      <c r="R4" s="27" t="s">
        <v>1</v>
      </c>
      <c r="S4" s="27" t="s">
        <v>11</v>
      </c>
      <c r="T4" s="27" t="s">
        <v>12</v>
      </c>
      <c r="V4" s="27" t="s">
        <v>0</v>
      </c>
      <c r="W4" s="27" t="s">
        <v>1</v>
      </c>
      <c r="X4" s="27" t="s">
        <v>11</v>
      </c>
      <c r="Y4" s="27" t="s">
        <v>12</v>
      </c>
      <c r="AA4" s="34"/>
    </row>
    <row r="5" spans="2:27" x14ac:dyDescent="0.25">
      <c r="B5" s="5" t="s">
        <v>6</v>
      </c>
      <c r="C5" s="11">
        <v>10</v>
      </c>
      <c r="D5" s="9">
        <v>122.88</v>
      </c>
      <c r="E5" s="10">
        <f>D5*C5</f>
        <v>1228.8</v>
      </c>
      <c r="G5" s="5" t="s">
        <v>22</v>
      </c>
      <c r="H5" s="11">
        <v>1</v>
      </c>
      <c r="I5" s="10">
        <v>100000</v>
      </c>
      <c r="J5" s="10">
        <f>I5*H5</f>
        <v>100000</v>
      </c>
      <c r="L5" s="5" t="s">
        <v>31</v>
      </c>
      <c r="M5" s="6">
        <v>1</v>
      </c>
      <c r="N5" s="10">
        <v>173.8</v>
      </c>
      <c r="O5" s="10">
        <f>N5*M5</f>
        <v>173.8</v>
      </c>
      <c r="Q5" s="5" t="s">
        <v>81</v>
      </c>
      <c r="R5" s="6">
        <v>2</v>
      </c>
      <c r="S5" s="10">
        <v>359</v>
      </c>
      <c r="T5" s="10">
        <f>S5*R5</f>
        <v>718</v>
      </c>
      <c r="V5" s="58" t="s">
        <v>50</v>
      </c>
      <c r="W5" s="6">
        <v>15</v>
      </c>
      <c r="X5" s="10">
        <v>25</v>
      </c>
      <c r="Y5" s="10">
        <f>X5*W5</f>
        <v>375</v>
      </c>
      <c r="AA5" s="34"/>
    </row>
    <row r="6" spans="2:27" x14ac:dyDescent="0.25">
      <c r="B6" s="5" t="s">
        <v>7</v>
      </c>
      <c r="C6" s="11">
        <v>2</v>
      </c>
      <c r="D6" s="9">
        <v>27.4</v>
      </c>
      <c r="E6" s="10">
        <f t="shared" ref="E6:E11" si="0">D6*C6</f>
        <v>54.8</v>
      </c>
      <c r="G6" s="5" t="s">
        <v>23</v>
      </c>
      <c r="H6" s="11">
        <v>1</v>
      </c>
      <c r="I6" s="10">
        <v>40000</v>
      </c>
      <c r="J6" s="10">
        <f t="shared" ref="J6:J12" si="1">I6*H6</f>
        <v>40000</v>
      </c>
      <c r="L6" s="5" t="s">
        <v>20</v>
      </c>
      <c r="M6" s="6">
        <v>1</v>
      </c>
      <c r="N6" s="10">
        <v>125.11</v>
      </c>
      <c r="O6" s="10">
        <f>N6*M6</f>
        <v>125.11</v>
      </c>
      <c r="Q6" s="3" t="s">
        <v>41</v>
      </c>
      <c r="R6" s="6">
        <v>20</v>
      </c>
      <c r="S6" s="10">
        <v>0.8</v>
      </c>
      <c r="T6" s="10">
        <f>S6*R6</f>
        <v>16</v>
      </c>
      <c r="V6" s="59"/>
      <c r="W6" s="6">
        <v>20</v>
      </c>
      <c r="X6" s="10">
        <v>20</v>
      </c>
      <c r="Y6" s="10">
        <f>X6*W6</f>
        <v>400</v>
      </c>
      <c r="AA6" s="34"/>
    </row>
    <row r="7" spans="2:27" x14ac:dyDescent="0.25">
      <c r="B7" s="5" t="s">
        <v>8</v>
      </c>
      <c r="C7" s="11">
        <v>2</v>
      </c>
      <c r="D7" s="9">
        <v>56.2</v>
      </c>
      <c r="E7" s="10">
        <f t="shared" si="0"/>
        <v>112.4</v>
      </c>
      <c r="G7" s="12" t="s">
        <v>24</v>
      </c>
      <c r="H7" s="13">
        <v>1</v>
      </c>
      <c r="I7" s="14">
        <v>8335</v>
      </c>
      <c r="J7" s="14">
        <f t="shared" si="1"/>
        <v>8335</v>
      </c>
      <c r="L7" s="5" t="s">
        <v>21</v>
      </c>
      <c r="M7" s="6">
        <v>1</v>
      </c>
      <c r="N7" s="10">
        <v>227.6</v>
      </c>
      <c r="O7" s="10">
        <f>N7*M7</f>
        <v>227.6</v>
      </c>
      <c r="Q7" s="3" t="s">
        <v>42</v>
      </c>
      <c r="R7" s="6">
        <v>30</v>
      </c>
      <c r="S7" s="10">
        <v>1.35</v>
      </c>
      <c r="T7" s="10">
        <f>S7*R7</f>
        <v>40.5</v>
      </c>
      <c r="V7" s="5" t="s">
        <v>51</v>
      </c>
      <c r="W7" s="6">
        <v>60</v>
      </c>
      <c r="X7" s="10">
        <v>35</v>
      </c>
      <c r="Y7" s="10">
        <f>X7*W7</f>
        <v>2100</v>
      </c>
      <c r="AA7" s="34"/>
    </row>
    <row r="8" spans="2:27" x14ac:dyDescent="0.25">
      <c r="B8" s="5" t="s">
        <v>10</v>
      </c>
      <c r="C8" s="11">
        <v>2</v>
      </c>
      <c r="D8" s="9">
        <v>189.49</v>
      </c>
      <c r="E8" s="10">
        <f t="shared" si="0"/>
        <v>378.98</v>
      </c>
      <c r="G8" s="5" t="s">
        <v>25</v>
      </c>
      <c r="H8" s="11">
        <v>1</v>
      </c>
      <c r="I8" s="10">
        <v>2478.5100000000002</v>
      </c>
      <c r="J8" s="10">
        <f t="shared" si="1"/>
        <v>2478.5100000000002</v>
      </c>
      <c r="L8" s="5" t="s">
        <v>26</v>
      </c>
      <c r="M8" s="6">
        <v>1</v>
      </c>
      <c r="N8" s="10">
        <v>3602.58</v>
      </c>
      <c r="O8" s="10">
        <f t="shared" ref="O8:O15" si="2">N8*M8</f>
        <v>3602.58</v>
      </c>
      <c r="Q8" s="3" t="s">
        <v>43</v>
      </c>
      <c r="R8" s="6">
        <v>20</v>
      </c>
      <c r="S8" s="10">
        <v>2.99</v>
      </c>
      <c r="T8" s="10">
        <f t="shared" ref="T8:T10" si="3">S8*R8</f>
        <v>59.800000000000004</v>
      </c>
      <c r="V8" s="5" t="s">
        <v>52</v>
      </c>
      <c r="W8" s="6">
        <v>25</v>
      </c>
      <c r="X8" s="10">
        <v>35</v>
      </c>
      <c r="Y8" s="10">
        <f t="shared" ref="Y8:Y9" si="4">X8*W8</f>
        <v>875</v>
      </c>
      <c r="AA8" s="34"/>
    </row>
    <row r="9" spans="2:27" x14ac:dyDescent="0.25">
      <c r="B9" s="5" t="s">
        <v>9</v>
      </c>
      <c r="C9" s="11">
        <v>2</v>
      </c>
      <c r="D9" s="9">
        <v>99</v>
      </c>
      <c r="E9" s="10">
        <f t="shared" si="0"/>
        <v>198</v>
      </c>
      <c r="G9" s="16" t="s">
        <v>35</v>
      </c>
      <c r="H9" s="17">
        <v>1</v>
      </c>
      <c r="I9" s="26">
        <v>2782.01</v>
      </c>
      <c r="J9" s="10">
        <f t="shared" si="1"/>
        <v>2782.01</v>
      </c>
      <c r="L9" s="5" t="s">
        <v>27</v>
      </c>
      <c r="M9" s="6">
        <v>4</v>
      </c>
      <c r="N9" s="10">
        <v>1403.5</v>
      </c>
      <c r="O9" s="10">
        <f t="shared" si="2"/>
        <v>5614</v>
      </c>
      <c r="Q9" s="3" t="s">
        <v>44</v>
      </c>
      <c r="R9" s="3">
        <v>75</v>
      </c>
      <c r="S9" s="3">
        <v>72.88</v>
      </c>
      <c r="T9" s="10">
        <f t="shared" si="3"/>
        <v>5466</v>
      </c>
      <c r="V9" s="5" t="s">
        <v>53</v>
      </c>
      <c r="W9" s="3">
        <v>10</v>
      </c>
      <c r="X9" s="28">
        <v>35</v>
      </c>
      <c r="Y9" s="10">
        <f t="shared" si="4"/>
        <v>350</v>
      </c>
      <c r="AA9" s="35"/>
    </row>
    <row r="10" spans="2:27" x14ac:dyDescent="0.25">
      <c r="B10" s="5" t="s">
        <v>17</v>
      </c>
      <c r="C10" s="11">
        <v>1</v>
      </c>
      <c r="D10" s="9">
        <v>51.95</v>
      </c>
      <c r="E10" s="10">
        <f t="shared" si="0"/>
        <v>51.95</v>
      </c>
      <c r="G10" s="16" t="s">
        <v>36</v>
      </c>
      <c r="H10" s="17">
        <v>1</v>
      </c>
      <c r="I10" s="18">
        <v>313.39</v>
      </c>
      <c r="J10" s="10">
        <f t="shared" si="1"/>
        <v>313.39</v>
      </c>
      <c r="L10" s="5" t="s">
        <v>28</v>
      </c>
      <c r="M10" s="6">
        <v>1</v>
      </c>
      <c r="N10" s="10">
        <v>977.28</v>
      </c>
      <c r="O10" s="10">
        <f t="shared" si="2"/>
        <v>977.28</v>
      </c>
      <c r="Q10" s="3" t="s">
        <v>45</v>
      </c>
      <c r="R10" s="3">
        <v>120</v>
      </c>
      <c r="S10" s="3">
        <v>180.08</v>
      </c>
      <c r="T10" s="10">
        <f t="shared" si="3"/>
        <v>21609.600000000002</v>
      </c>
      <c r="V10" s="51" t="s">
        <v>14</v>
      </c>
      <c r="W10" s="52"/>
      <c r="X10" s="53"/>
      <c r="Y10" s="29">
        <f>SUM(Y5:Y9)</f>
        <v>4100</v>
      </c>
      <c r="AA10" s="35"/>
    </row>
    <row r="11" spans="2:27" x14ac:dyDescent="0.25">
      <c r="B11" s="4" t="s">
        <v>13</v>
      </c>
      <c r="C11" s="11">
        <v>1</v>
      </c>
      <c r="D11" s="9">
        <v>170.13</v>
      </c>
      <c r="E11" s="10">
        <f t="shared" si="0"/>
        <v>170.13</v>
      </c>
      <c r="G11" s="4" t="s">
        <v>37</v>
      </c>
      <c r="H11" s="3">
        <v>1</v>
      </c>
      <c r="I11" s="18">
        <v>143.88</v>
      </c>
      <c r="J11" s="10">
        <f t="shared" si="1"/>
        <v>143.88</v>
      </c>
      <c r="L11" s="4" t="s">
        <v>29</v>
      </c>
      <c r="M11" s="6">
        <v>1</v>
      </c>
      <c r="N11" s="10">
        <v>55.92</v>
      </c>
      <c r="O11" s="10">
        <f t="shared" si="2"/>
        <v>55.92</v>
      </c>
      <c r="Q11" s="51" t="s">
        <v>14</v>
      </c>
      <c r="R11" s="52"/>
      <c r="S11" s="53"/>
      <c r="T11" s="10">
        <f>SUM(T5:T10)</f>
        <v>27909.9</v>
      </c>
      <c r="V11" s="51" t="s">
        <v>15</v>
      </c>
      <c r="W11" s="52"/>
      <c r="X11" s="53"/>
      <c r="Y11" s="10">
        <f>Y10*0.21</f>
        <v>861</v>
      </c>
      <c r="AA11" s="35"/>
    </row>
    <row r="12" spans="2:27" x14ac:dyDescent="0.25">
      <c r="B12" s="54" t="s">
        <v>14</v>
      </c>
      <c r="C12" s="54"/>
      <c r="D12" s="54"/>
      <c r="E12" s="10">
        <f>SUM(E5:E11)</f>
        <v>2195.06</v>
      </c>
      <c r="G12" s="16" t="s">
        <v>39</v>
      </c>
      <c r="H12" s="17">
        <v>1</v>
      </c>
      <c r="I12" s="3">
        <v>163.63999999999999</v>
      </c>
      <c r="J12" s="10">
        <f t="shared" si="1"/>
        <v>163.63999999999999</v>
      </c>
      <c r="L12" s="4" t="s">
        <v>46</v>
      </c>
      <c r="M12" s="22">
        <v>1</v>
      </c>
      <c r="N12" s="20">
        <v>14.16</v>
      </c>
      <c r="O12" s="20">
        <f t="shared" si="2"/>
        <v>14.16</v>
      </c>
      <c r="Q12" s="51" t="s">
        <v>15</v>
      </c>
      <c r="R12" s="52"/>
      <c r="S12" s="53"/>
      <c r="T12" s="10">
        <f>T11*0.21</f>
        <v>5861.0789999999997</v>
      </c>
      <c r="V12" s="51" t="s">
        <v>16</v>
      </c>
      <c r="W12" s="52"/>
      <c r="X12" s="53"/>
      <c r="Y12" s="10">
        <f>Y10+Y11</f>
        <v>4961</v>
      </c>
      <c r="AA12" s="35"/>
    </row>
    <row r="13" spans="2:27" x14ac:dyDescent="0.25">
      <c r="B13" s="54" t="s">
        <v>15</v>
      </c>
      <c r="C13" s="54"/>
      <c r="D13" s="54"/>
      <c r="E13" s="9">
        <f>E12*0.21</f>
        <v>460.96259999999995</v>
      </c>
      <c r="G13" s="54" t="s">
        <v>14</v>
      </c>
      <c r="H13" s="54"/>
      <c r="I13" s="54"/>
      <c r="J13" s="10">
        <f>SUM(J5:J12)</f>
        <v>154216.43000000005</v>
      </c>
      <c r="L13" s="4" t="s">
        <v>47</v>
      </c>
      <c r="M13" s="22">
        <v>1</v>
      </c>
      <c r="N13" s="20">
        <v>17.64</v>
      </c>
      <c r="O13" s="20">
        <f t="shared" si="2"/>
        <v>17.64</v>
      </c>
      <c r="Q13" s="51" t="s">
        <v>16</v>
      </c>
      <c r="R13" s="52"/>
      <c r="S13" s="53"/>
      <c r="T13" s="10">
        <f>T11+T12</f>
        <v>33770.978999999999</v>
      </c>
      <c r="AA13" s="35"/>
    </row>
    <row r="14" spans="2:27" x14ac:dyDescent="0.25">
      <c r="B14" s="54" t="s">
        <v>16</v>
      </c>
      <c r="C14" s="54"/>
      <c r="D14" s="54"/>
      <c r="E14" s="10">
        <f>E12+E13</f>
        <v>2656.0225999999998</v>
      </c>
      <c r="G14" s="51" t="s">
        <v>15</v>
      </c>
      <c r="H14" s="52"/>
      <c r="I14" s="53"/>
      <c r="J14" s="10">
        <f>J13*0.21</f>
        <v>32385.450300000011</v>
      </c>
      <c r="L14" s="4" t="s">
        <v>48</v>
      </c>
      <c r="M14" s="22">
        <v>2</v>
      </c>
      <c r="N14" s="21">
        <v>60</v>
      </c>
      <c r="O14" s="20">
        <f t="shared" si="2"/>
        <v>120</v>
      </c>
      <c r="AA14" s="35"/>
    </row>
    <row r="15" spans="2:27" x14ac:dyDescent="0.25">
      <c r="B15" s="7"/>
      <c r="C15" s="8"/>
      <c r="D15" s="8"/>
      <c r="E15" s="8"/>
      <c r="G15" s="51" t="s">
        <v>16</v>
      </c>
      <c r="H15" s="52"/>
      <c r="I15" s="53"/>
      <c r="J15" s="10">
        <f>J13+J14</f>
        <v>186601.88030000008</v>
      </c>
      <c r="L15" s="19" t="s">
        <v>38</v>
      </c>
      <c r="M15" s="6">
        <v>1</v>
      </c>
      <c r="N15" s="21">
        <v>35.799999999999997</v>
      </c>
      <c r="O15" s="21">
        <f t="shared" si="2"/>
        <v>35.799999999999997</v>
      </c>
      <c r="AA15" s="34"/>
    </row>
    <row r="16" spans="2:27" x14ac:dyDescent="0.25">
      <c r="B16" s="7"/>
      <c r="C16" s="8"/>
      <c r="D16" s="8"/>
      <c r="E16" s="8"/>
      <c r="L16" s="5" t="s">
        <v>30</v>
      </c>
      <c r="M16" s="22">
        <v>3</v>
      </c>
      <c r="N16" s="20">
        <v>126.65</v>
      </c>
      <c r="O16" s="20">
        <f>N16*M16</f>
        <v>379.95000000000005</v>
      </c>
      <c r="Q16" s="15"/>
      <c r="R16" s="23"/>
      <c r="S16" s="24"/>
      <c r="T16" s="24"/>
      <c r="AA16" s="34"/>
    </row>
    <row r="17" spans="2:27" x14ac:dyDescent="0.25">
      <c r="B17" s="7"/>
      <c r="C17" s="8"/>
      <c r="D17" s="8"/>
      <c r="E17" s="8"/>
      <c r="L17" s="5" t="s">
        <v>80</v>
      </c>
      <c r="M17" s="22">
        <v>3</v>
      </c>
      <c r="N17" s="4">
        <v>43.68</v>
      </c>
      <c r="O17" s="20">
        <f>N17*M17</f>
        <v>131.04</v>
      </c>
      <c r="Q17" s="15"/>
      <c r="R17" s="23"/>
      <c r="S17" s="7"/>
      <c r="T17" s="24"/>
      <c r="AA17" s="35"/>
    </row>
    <row r="18" spans="2:27" x14ac:dyDescent="0.25">
      <c r="B18" s="7"/>
      <c r="C18" s="8"/>
      <c r="D18" s="8"/>
      <c r="E18" s="8"/>
      <c r="L18" s="5" t="s">
        <v>32</v>
      </c>
      <c r="M18" s="22">
        <v>1</v>
      </c>
      <c r="N18" s="20">
        <v>2900</v>
      </c>
      <c r="O18" s="20">
        <f>N18*M18</f>
        <v>2900</v>
      </c>
      <c r="Q18" s="15"/>
      <c r="R18" s="23"/>
      <c r="S18" s="24"/>
      <c r="T18" s="24"/>
      <c r="AA18" s="35"/>
    </row>
    <row r="19" spans="2:27" x14ac:dyDescent="0.25">
      <c r="B19" s="7"/>
      <c r="C19" s="8"/>
      <c r="D19" s="8"/>
      <c r="E19" s="8"/>
      <c r="L19" s="5" t="s">
        <v>33</v>
      </c>
      <c r="M19" s="22">
        <v>1</v>
      </c>
      <c r="N19" s="20">
        <v>1670.5</v>
      </c>
      <c r="O19" s="20">
        <f>N19*M19</f>
        <v>1670.5</v>
      </c>
      <c r="Q19" s="15"/>
      <c r="R19" s="23"/>
      <c r="S19" s="24"/>
      <c r="T19" s="24"/>
      <c r="AA19" s="35"/>
    </row>
    <row r="20" spans="2:27" x14ac:dyDescent="0.25">
      <c r="B20" s="7"/>
      <c r="C20" s="8"/>
      <c r="D20" s="8"/>
      <c r="E20" s="8"/>
      <c r="L20" s="5" t="s">
        <v>34</v>
      </c>
      <c r="M20" s="22">
        <v>10</v>
      </c>
      <c r="N20" s="21">
        <v>74</v>
      </c>
      <c r="O20" s="20">
        <f>N20*M20</f>
        <v>740</v>
      </c>
      <c r="Q20" s="15"/>
      <c r="R20" s="23"/>
      <c r="S20" s="25"/>
      <c r="T20" s="24"/>
      <c r="AA20" s="35"/>
    </row>
    <row r="21" spans="2:27" x14ac:dyDescent="0.25">
      <c r="B21" s="7"/>
      <c r="C21" s="8"/>
      <c r="D21" s="8"/>
      <c r="E21" s="8"/>
      <c r="L21" s="51" t="s">
        <v>14</v>
      </c>
      <c r="M21" s="52"/>
      <c r="N21" s="53"/>
      <c r="O21" s="10">
        <f>SUM(O5:O20)</f>
        <v>16785.38</v>
      </c>
      <c r="AA21" s="35"/>
    </row>
    <row r="22" spans="2:27" x14ac:dyDescent="0.25">
      <c r="B22" s="7"/>
      <c r="C22" s="8"/>
      <c r="D22" s="8"/>
      <c r="E22" s="8"/>
      <c r="L22" s="51" t="s">
        <v>15</v>
      </c>
      <c r="M22" s="52"/>
      <c r="N22" s="53"/>
      <c r="O22" s="10">
        <f>O21*0.21</f>
        <v>3524.9297999999999</v>
      </c>
      <c r="AA22" s="35"/>
    </row>
    <row r="23" spans="2:27" x14ac:dyDescent="0.25">
      <c r="B23" s="1"/>
      <c r="C23" s="1"/>
      <c r="D23" s="1"/>
      <c r="L23" s="51" t="s">
        <v>16</v>
      </c>
      <c r="M23" s="52"/>
      <c r="N23" s="53"/>
      <c r="O23" s="10">
        <f>O21+O22</f>
        <v>20310.309800000003</v>
      </c>
      <c r="AA23" s="35"/>
    </row>
    <row r="24" spans="2:27" x14ac:dyDescent="0.25">
      <c r="B24" s="1"/>
      <c r="C24" s="1"/>
      <c r="D24" s="1"/>
      <c r="AA24" s="35"/>
    </row>
    <row r="25" spans="2:27" x14ac:dyDescent="0.25">
      <c r="B25" s="31" t="s">
        <v>54</v>
      </c>
      <c r="C25" s="32">
        <f>SUM(E12+J13+O21+T11+Y10)</f>
        <v>205206.77000000005</v>
      </c>
      <c r="AA25" s="34"/>
    </row>
    <row r="26" spans="2:27" x14ac:dyDescent="0.25">
      <c r="B26" s="33" t="s">
        <v>15</v>
      </c>
      <c r="C26" s="32">
        <f>0.21*C25</f>
        <v>43093.421700000006</v>
      </c>
      <c r="AA26" s="34"/>
    </row>
    <row r="27" spans="2:27" x14ac:dyDescent="0.25">
      <c r="B27" s="33" t="s">
        <v>55</v>
      </c>
      <c r="C27" s="32">
        <f>SUM(C25+C26)</f>
        <v>248300.19170000005</v>
      </c>
      <c r="AA27" s="35"/>
    </row>
    <row r="28" spans="2:27" x14ac:dyDescent="0.25">
      <c r="AA28" s="34"/>
    </row>
    <row r="29" spans="2:27" x14ac:dyDescent="0.25">
      <c r="AA29" s="35"/>
    </row>
    <row r="30" spans="2:27" x14ac:dyDescent="0.25">
      <c r="AA30" s="35"/>
    </row>
    <row r="31" spans="2:27" x14ac:dyDescent="0.25">
      <c r="AA31" s="35"/>
    </row>
    <row r="32" spans="2:27" x14ac:dyDescent="0.25">
      <c r="AA32" s="35"/>
    </row>
    <row r="33" spans="27:27" x14ac:dyDescent="0.25">
      <c r="AA33" s="35"/>
    </row>
    <row r="34" spans="27:27" x14ac:dyDescent="0.25">
      <c r="AA34" s="35"/>
    </row>
    <row r="35" spans="27:27" x14ac:dyDescent="0.25">
      <c r="AA35" s="35"/>
    </row>
    <row r="36" spans="27:27" x14ac:dyDescent="0.25">
      <c r="AA36" s="35"/>
    </row>
    <row r="37" spans="27:27" x14ac:dyDescent="0.25">
      <c r="AA37" s="35"/>
    </row>
    <row r="38" spans="27:27" x14ac:dyDescent="0.25">
      <c r="AA38" s="34"/>
    </row>
    <row r="39" spans="27:27" x14ac:dyDescent="0.25">
      <c r="AA39" s="34"/>
    </row>
    <row r="40" spans="27:27" x14ac:dyDescent="0.25">
      <c r="AA40" s="35"/>
    </row>
    <row r="41" spans="27:27" x14ac:dyDescent="0.25">
      <c r="AA41" s="35"/>
    </row>
    <row r="42" spans="27:27" x14ac:dyDescent="0.25">
      <c r="AA42" s="35"/>
    </row>
    <row r="43" spans="27:27" x14ac:dyDescent="0.25">
      <c r="AA43" s="30"/>
    </row>
  </sheetData>
  <mergeCells count="21">
    <mergeCell ref="B14:D14"/>
    <mergeCell ref="G3:J3"/>
    <mergeCell ref="G13:I13"/>
    <mergeCell ref="V3:Y3"/>
    <mergeCell ref="V5:V6"/>
    <mergeCell ref="G14:I14"/>
    <mergeCell ref="V10:X10"/>
    <mergeCell ref="V11:X11"/>
    <mergeCell ref="V12:X12"/>
    <mergeCell ref="L3:O3"/>
    <mergeCell ref="Q3:T3"/>
    <mergeCell ref="B3:E3"/>
    <mergeCell ref="B12:D12"/>
    <mergeCell ref="B13:D13"/>
    <mergeCell ref="G15:I15"/>
    <mergeCell ref="L21:N21"/>
    <mergeCell ref="L22:N22"/>
    <mergeCell ref="L23:N23"/>
    <mergeCell ref="Q11:S11"/>
    <mergeCell ref="Q12:S12"/>
    <mergeCell ref="Q13:S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63"/>
  <sheetViews>
    <sheetView workbookViewId="0">
      <selection activeCell="O48" sqref="O48"/>
    </sheetView>
  </sheetViews>
  <sheetFormatPr baseColWidth="10" defaultRowHeight="15" x14ac:dyDescent="0.25"/>
  <cols>
    <col min="2" max="2" width="11.42578125" customWidth="1"/>
    <col min="3" max="3" width="4.7109375" bestFit="1" customWidth="1"/>
    <col min="4" max="4" width="4.42578125" bestFit="1" customWidth="1"/>
    <col min="5" max="5" width="10.7109375" bestFit="1" customWidth="1"/>
    <col min="6" max="6" width="7.85546875" bestFit="1" customWidth="1"/>
    <col min="7" max="7" width="7.7109375" bestFit="1" customWidth="1"/>
    <col min="8" max="8" width="7.28515625" bestFit="1" customWidth="1"/>
    <col min="9" max="9" width="8" bestFit="1" customWidth="1"/>
    <col min="10" max="10" width="7.5703125" bestFit="1" customWidth="1"/>
    <col min="11" max="11" width="8.7109375" bestFit="1" customWidth="1"/>
    <col min="12" max="12" width="8" bestFit="1" customWidth="1"/>
    <col min="13" max="13" width="9.28515625" bestFit="1" customWidth="1"/>
    <col min="16" max="16" width="20.42578125" bestFit="1" customWidth="1"/>
  </cols>
  <sheetData>
    <row r="3" spans="3:18" x14ac:dyDescent="0.25">
      <c r="E3" s="60" t="s">
        <v>2</v>
      </c>
      <c r="F3" s="60"/>
      <c r="G3" s="60"/>
      <c r="H3" s="60"/>
      <c r="I3" s="60"/>
      <c r="J3" s="60" t="s">
        <v>3</v>
      </c>
      <c r="K3" s="60"/>
      <c r="L3" s="60"/>
    </row>
    <row r="4" spans="3:18" ht="22.5" x14ac:dyDescent="0.25">
      <c r="E4" s="43" t="s">
        <v>73</v>
      </c>
      <c r="F4" s="62"/>
      <c r="G4" s="63"/>
      <c r="H4" s="63"/>
      <c r="I4" s="64"/>
      <c r="J4" s="60"/>
      <c r="K4" s="60"/>
      <c r="L4" s="60"/>
    </row>
    <row r="5" spans="3:18" x14ac:dyDescent="0.25">
      <c r="E5" s="50">
        <f>'Inversió inicial'!C27</f>
        <v>248300.19170000005</v>
      </c>
      <c r="F5" s="65"/>
      <c r="G5" s="66"/>
      <c r="H5" s="66"/>
      <c r="I5" s="67"/>
      <c r="J5" s="61"/>
      <c r="K5" s="61"/>
      <c r="L5" s="61"/>
    </row>
    <row r="6" spans="3:18" ht="33.75" x14ac:dyDescent="0.25">
      <c r="C6" s="44" t="s">
        <v>4</v>
      </c>
      <c r="D6" s="43" t="s">
        <v>79</v>
      </c>
      <c r="E6" s="43" t="s">
        <v>61</v>
      </c>
      <c r="F6" s="43" t="s">
        <v>62</v>
      </c>
      <c r="G6" s="43" t="s">
        <v>78</v>
      </c>
      <c r="H6" s="43" t="s">
        <v>77</v>
      </c>
      <c r="I6" s="43" t="s">
        <v>76</v>
      </c>
      <c r="J6" s="43" t="s">
        <v>75</v>
      </c>
      <c r="K6" s="43" t="s">
        <v>56</v>
      </c>
      <c r="L6" s="43" t="s">
        <v>74</v>
      </c>
      <c r="M6" s="43" t="s">
        <v>72</v>
      </c>
    </row>
    <row r="7" spans="3:18" x14ac:dyDescent="0.25">
      <c r="C7" s="2">
        <v>1</v>
      </c>
      <c r="D7" s="2">
        <v>2014</v>
      </c>
      <c r="E7" s="10">
        <f>E5*Q9</f>
        <v>2483.0019170000005</v>
      </c>
      <c r="F7" s="10">
        <f>E5*Q11</f>
        <v>1241.5009585000003</v>
      </c>
      <c r="G7" s="10">
        <f>0.0005*K7</f>
        <v>400</v>
      </c>
      <c r="H7" s="9">
        <f>0.00039*K7</f>
        <v>312</v>
      </c>
      <c r="I7" s="10">
        <f>E7+F7+G7+H7</f>
        <v>4436.5028755000003</v>
      </c>
      <c r="J7" s="45">
        <f>0.04463</f>
        <v>4.4630000000000003E-2</v>
      </c>
      <c r="K7" s="10">
        <v>800000</v>
      </c>
      <c r="L7" s="10">
        <f>J7*K7</f>
        <v>35704</v>
      </c>
      <c r="M7" s="10">
        <f>L7-I7-E5</f>
        <v>-217032.69457550006</v>
      </c>
      <c r="P7" s="60" t="s">
        <v>57</v>
      </c>
      <c r="Q7" s="60"/>
      <c r="R7" s="60"/>
    </row>
    <row r="8" spans="3:18" x14ac:dyDescent="0.25">
      <c r="C8" s="2">
        <v>2</v>
      </c>
      <c r="D8" s="2">
        <v>2015</v>
      </c>
      <c r="E8" s="10">
        <f>E7+E7*$Q$10</f>
        <v>2545.0769649250005</v>
      </c>
      <c r="F8" s="10">
        <f>F7+F7*$Q$12</f>
        <v>1315.9910160100003</v>
      </c>
      <c r="G8" s="10">
        <f>G7+G7*$Q$13</f>
        <v>408</v>
      </c>
      <c r="H8" s="10">
        <f>H7+$Q$14*H7</f>
        <v>321.36</v>
      </c>
      <c r="I8" s="10">
        <f t="shared" ref="I8:I46" si="0">E8+F8+G8+H8</f>
        <v>4590.4279809350001</v>
      </c>
      <c r="J8" s="45">
        <f t="shared" ref="J8:J30" si="1">0.04463</f>
        <v>4.4630000000000003E-2</v>
      </c>
      <c r="K8" s="10">
        <f>K7+K7*$Q$15</f>
        <v>796000</v>
      </c>
      <c r="L8" s="10">
        <f t="shared" ref="L8:L46" si="2">J8*K8</f>
        <v>35525.480000000003</v>
      </c>
      <c r="M8" s="10">
        <f>L8-I8+M7</f>
        <v>-186097.64255643505</v>
      </c>
      <c r="P8" s="27" t="s">
        <v>58</v>
      </c>
      <c r="Q8" s="27" t="s">
        <v>59</v>
      </c>
      <c r="R8" s="27" t="s">
        <v>60</v>
      </c>
    </row>
    <row r="9" spans="3:18" x14ac:dyDescent="0.25">
      <c r="C9" s="2">
        <v>3</v>
      </c>
      <c r="D9" s="2">
        <v>2016</v>
      </c>
      <c r="E9" s="10">
        <f t="shared" ref="E9:E46" si="3">E8+E8*$Q$10</f>
        <v>2608.7038890481253</v>
      </c>
      <c r="F9" s="10">
        <f t="shared" ref="F9:F46" si="4">F8+F8*$Q$12</f>
        <v>1394.9504769706002</v>
      </c>
      <c r="G9" s="10">
        <f t="shared" ref="G9:G46" si="5">G8+G8*$Q$13</f>
        <v>416.16</v>
      </c>
      <c r="H9" s="10">
        <f t="shared" ref="H9:H46" si="6">H8+$Q$14*H8</f>
        <v>331.00080000000003</v>
      </c>
      <c r="I9" s="10">
        <f t="shared" si="0"/>
        <v>4750.815166018725</v>
      </c>
      <c r="J9" s="45">
        <f t="shared" si="1"/>
        <v>4.4630000000000003E-2</v>
      </c>
      <c r="K9" s="10">
        <f t="shared" ref="K9:K46" si="7">K8+K8*$Q$15</f>
        <v>792020</v>
      </c>
      <c r="L9" s="10">
        <f t="shared" si="2"/>
        <v>35347.852600000006</v>
      </c>
      <c r="M9" s="10">
        <f t="shared" ref="M9:M46" si="8">L9-I9+M8</f>
        <v>-155500.60512245377</v>
      </c>
      <c r="P9" s="37" t="s">
        <v>66</v>
      </c>
      <c r="Q9" s="38">
        <v>0.01</v>
      </c>
      <c r="R9" s="2" t="s">
        <v>63</v>
      </c>
    </row>
    <row r="10" spans="3:18" x14ac:dyDescent="0.25">
      <c r="C10" s="2">
        <v>4</v>
      </c>
      <c r="D10" s="2">
        <v>2017</v>
      </c>
      <c r="E10" s="10">
        <f t="shared" si="3"/>
        <v>2673.9214862743283</v>
      </c>
      <c r="F10" s="10">
        <f t="shared" si="4"/>
        <v>1478.6475055888363</v>
      </c>
      <c r="G10" s="10">
        <f t="shared" si="5"/>
        <v>424.48320000000001</v>
      </c>
      <c r="H10" s="10">
        <f t="shared" si="6"/>
        <v>340.93082400000003</v>
      </c>
      <c r="I10" s="10">
        <f t="shared" si="0"/>
        <v>4917.9830158631648</v>
      </c>
      <c r="J10" s="45">
        <f t="shared" si="1"/>
        <v>4.4630000000000003E-2</v>
      </c>
      <c r="K10" s="10">
        <f t="shared" si="7"/>
        <v>788059.9</v>
      </c>
      <c r="L10" s="10">
        <f t="shared" si="2"/>
        <v>35171.113337000003</v>
      </c>
      <c r="M10" s="10">
        <f t="shared" si="8"/>
        <v>-125247.47480131693</v>
      </c>
      <c r="P10" s="37" t="s">
        <v>67</v>
      </c>
      <c r="Q10" s="38">
        <v>2.5000000000000001E-2</v>
      </c>
      <c r="R10" s="2" t="s">
        <v>64</v>
      </c>
    </row>
    <row r="11" spans="3:18" x14ac:dyDescent="0.25">
      <c r="C11" s="2">
        <v>5</v>
      </c>
      <c r="D11" s="2">
        <v>2018</v>
      </c>
      <c r="E11" s="10">
        <f t="shared" si="3"/>
        <v>2740.7695234311864</v>
      </c>
      <c r="F11" s="10">
        <f t="shared" si="4"/>
        <v>1567.3663559241666</v>
      </c>
      <c r="G11" s="10">
        <f t="shared" si="5"/>
        <v>432.97286400000002</v>
      </c>
      <c r="H11" s="10">
        <f t="shared" si="6"/>
        <v>351.15874872000001</v>
      </c>
      <c r="I11" s="10">
        <f t="shared" si="0"/>
        <v>5092.2674920753534</v>
      </c>
      <c r="J11" s="45">
        <f>0.04463</f>
        <v>4.4630000000000003E-2</v>
      </c>
      <c r="K11" s="10">
        <f t="shared" si="7"/>
        <v>784119.60050000006</v>
      </c>
      <c r="L11" s="10">
        <f t="shared" si="2"/>
        <v>34995.257770315002</v>
      </c>
      <c r="M11" s="10">
        <f t="shared" si="8"/>
        <v>-95344.484523077277</v>
      </c>
      <c r="P11" s="37" t="s">
        <v>65</v>
      </c>
      <c r="Q11" s="39">
        <v>5.0000000000000001E-3</v>
      </c>
      <c r="R11" s="2" t="s">
        <v>63</v>
      </c>
    </row>
    <row r="12" spans="3:18" x14ac:dyDescent="0.25">
      <c r="C12" s="2">
        <v>6</v>
      </c>
      <c r="D12" s="2">
        <v>2019</v>
      </c>
      <c r="E12" s="10">
        <f t="shared" si="3"/>
        <v>2809.2887615169661</v>
      </c>
      <c r="F12" s="10">
        <f t="shared" si="4"/>
        <v>1661.4083372796165</v>
      </c>
      <c r="G12" s="10">
        <f t="shared" si="5"/>
        <v>441.63232128000004</v>
      </c>
      <c r="H12" s="10">
        <f t="shared" si="6"/>
        <v>361.6935111816</v>
      </c>
      <c r="I12" s="10">
        <f t="shared" si="0"/>
        <v>5274.0229312581823</v>
      </c>
      <c r="J12" s="45">
        <f t="shared" si="1"/>
        <v>4.4630000000000003E-2</v>
      </c>
      <c r="K12" s="10">
        <f t="shared" si="7"/>
        <v>780199.00249750004</v>
      </c>
      <c r="L12" s="10">
        <f t="shared" si="2"/>
        <v>34820.281481463426</v>
      </c>
      <c r="M12" s="10">
        <f t="shared" si="8"/>
        <v>-65798.225972872038</v>
      </c>
      <c r="P12" s="2" t="s">
        <v>68</v>
      </c>
      <c r="Q12" s="38">
        <v>0.06</v>
      </c>
      <c r="R12" s="2" t="s">
        <v>64</v>
      </c>
    </row>
    <row r="13" spans="3:18" x14ac:dyDescent="0.25">
      <c r="C13" s="2">
        <v>7</v>
      </c>
      <c r="D13" s="2">
        <v>2020</v>
      </c>
      <c r="E13" s="10">
        <f t="shared" si="3"/>
        <v>2879.5209805548902</v>
      </c>
      <c r="F13" s="10">
        <f t="shared" si="4"/>
        <v>1761.0928375163935</v>
      </c>
      <c r="G13" s="10">
        <f t="shared" si="5"/>
        <v>450.46496770560003</v>
      </c>
      <c r="H13" s="10">
        <f t="shared" si="6"/>
        <v>372.544316517048</v>
      </c>
      <c r="I13" s="10">
        <f t="shared" si="0"/>
        <v>5463.6231022939328</v>
      </c>
      <c r="J13" s="45">
        <f t="shared" si="1"/>
        <v>4.4630000000000003E-2</v>
      </c>
      <c r="K13" s="10">
        <f t="shared" si="7"/>
        <v>776298.00748501252</v>
      </c>
      <c r="L13" s="10">
        <f t="shared" si="2"/>
        <v>34646.180074056108</v>
      </c>
      <c r="M13" s="10">
        <f t="shared" si="8"/>
        <v>-36615.669001109862</v>
      </c>
      <c r="P13" s="2" t="s">
        <v>69</v>
      </c>
      <c r="Q13" s="38">
        <v>0.02</v>
      </c>
      <c r="R13" s="2" t="s">
        <v>64</v>
      </c>
    </row>
    <row r="14" spans="3:18" x14ac:dyDescent="0.25">
      <c r="C14" s="2">
        <v>8</v>
      </c>
      <c r="D14" s="2">
        <v>2021</v>
      </c>
      <c r="E14" s="10">
        <f t="shared" si="3"/>
        <v>2951.5090050687627</v>
      </c>
      <c r="F14" s="10">
        <f t="shared" si="4"/>
        <v>1866.7584077673771</v>
      </c>
      <c r="G14" s="10">
        <f t="shared" si="5"/>
        <v>459.47426705971202</v>
      </c>
      <c r="H14" s="10">
        <f t="shared" si="6"/>
        <v>383.72064601255943</v>
      </c>
      <c r="I14" s="10">
        <f t="shared" si="0"/>
        <v>5661.462325908411</v>
      </c>
      <c r="J14" s="45">
        <f t="shared" si="1"/>
        <v>4.4630000000000003E-2</v>
      </c>
      <c r="K14" s="10">
        <f t="shared" si="7"/>
        <v>772416.51744758745</v>
      </c>
      <c r="L14" s="10">
        <f t="shared" si="2"/>
        <v>34472.949173685833</v>
      </c>
      <c r="M14" s="10">
        <f>L14-I14+M13</f>
        <v>-7804.1821533324401</v>
      </c>
      <c r="P14" s="2" t="s">
        <v>70</v>
      </c>
      <c r="Q14" s="38">
        <v>0.03</v>
      </c>
      <c r="R14" s="2" t="s">
        <v>64</v>
      </c>
    </row>
    <row r="15" spans="3:18" x14ac:dyDescent="0.25">
      <c r="C15" s="41">
        <v>9</v>
      </c>
      <c r="D15" s="41">
        <v>2022</v>
      </c>
      <c r="E15" s="42">
        <f t="shared" si="3"/>
        <v>3025.2967301954818</v>
      </c>
      <c r="F15" s="42">
        <f t="shared" si="4"/>
        <v>1978.7639122334197</v>
      </c>
      <c r="G15" s="42">
        <f t="shared" si="5"/>
        <v>468.66375240090628</v>
      </c>
      <c r="H15" s="42">
        <f t="shared" si="6"/>
        <v>395.2322653929362</v>
      </c>
      <c r="I15" s="42">
        <f t="shared" si="0"/>
        <v>5867.9566602227442</v>
      </c>
      <c r="J15" s="46">
        <f t="shared" si="1"/>
        <v>4.4630000000000003E-2</v>
      </c>
      <c r="K15" s="42">
        <f t="shared" si="7"/>
        <v>768554.43486034952</v>
      </c>
      <c r="L15" s="42">
        <f t="shared" si="2"/>
        <v>34300.584427817405</v>
      </c>
      <c r="M15" s="42">
        <f t="shared" si="8"/>
        <v>20628.445614262222</v>
      </c>
      <c r="P15" s="2" t="s">
        <v>71</v>
      </c>
      <c r="Q15" s="38">
        <v>-5.0000000000000001E-3</v>
      </c>
      <c r="R15" s="2" t="s">
        <v>64</v>
      </c>
    </row>
    <row r="16" spans="3:18" x14ac:dyDescent="0.25">
      <c r="C16" s="2">
        <v>10</v>
      </c>
      <c r="D16" s="2">
        <v>2023</v>
      </c>
      <c r="E16" s="10">
        <f t="shared" si="3"/>
        <v>3100.9291484503688</v>
      </c>
      <c r="F16" s="10">
        <f t="shared" si="4"/>
        <v>2097.4897469674247</v>
      </c>
      <c r="G16" s="10">
        <f t="shared" si="5"/>
        <v>478.03702744892439</v>
      </c>
      <c r="H16" s="10">
        <f t="shared" si="6"/>
        <v>407.08923335472429</v>
      </c>
      <c r="I16" s="10">
        <f t="shared" si="0"/>
        <v>6083.5451562214421</v>
      </c>
      <c r="J16" s="45">
        <f t="shared" si="1"/>
        <v>4.4630000000000003E-2</v>
      </c>
      <c r="K16" s="10">
        <f t="shared" si="7"/>
        <v>764711.66268604773</v>
      </c>
      <c r="L16" s="10">
        <f t="shared" si="2"/>
        <v>34129.08150567831</v>
      </c>
      <c r="M16" s="10">
        <f t="shared" si="8"/>
        <v>48673.981963719089</v>
      </c>
      <c r="P16" s="7"/>
      <c r="Q16" s="40"/>
      <c r="R16" s="7"/>
    </row>
    <row r="17" spans="3:18" x14ac:dyDescent="0.25">
      <c r="C17" s="2">
        <v>11</v>
      </c>
      <c r="D17" s="2">
        <v>2024</v>
      </c>
      <c r="E17" s="10">
        <f t="shared" si="3"/>
        <v>3178.4523771616282</v>
      </c>
      <c r="F17" s="10">
        <f t="shared" si="4"/>
        <v>2223.3391317854703</v>
      </c>
      <c r="G17" s="10">
        <f t="shared" si="5"/>
        <v>487.59776799790291</v>
      </c>
      <c r="H17" s="10">
        <f t="shared" si="6"/>
        <v>419.30191035536603</v>
      </c>
      <c r="I17" s="10">
        <f t="shared" si="0"/>
        <v>6308.6911873003683</v>
      </c>
      <c r="J17" s="45">
        <f t="shared" si="1"/>
        <v>4.4630000000000003E-2</v>
      </c>
      <c r="K17" s="10">
        <f t="shared" si="7"/>
        <v>760888.10437261744</v>
      </c>
      <c r="L17" s="10">
        <f t="shared" si="2"/>
        <v>33958.436098149919</v>
      </c>
      <c r="M17" s="10">
        <f t="shared" si="8"/>
        <v>76323.726874568645</v>
      </c>
      <c r="P17" s="7"/>
      <c r="Q17" s="40"/>
      <c r="R17" s="7"/>
    </row>
    <row r="18" spans="3:18" x14ac:dyDescent="0.25">
      <c r="C18" s="2">
        <v>12</v>
      </c>
      <c r="D18" s="2">
        <v>2025</v>
      </c>
      <c r="E18" s="10">
        <f t="shared" si="3"/>
        <v>3257.9136865906689</v>
      </c>
      <c r="F18" s="10">
        <f t="shared" si="4"/>
        <v>2356.7394796925983</v>
      </c>
      <c r="G18" s="10">
        <f t="shared" si="5"/>
        <v>497.34972335786097</v>
      </c>
      <c r="H18" s="10">
        <f t="shared" si="6"/>
        <v>431.880967666027</v>
      </c>
      <c r="I18" s="10">
        <f t="shared" si="0"/>
        <v>6543.8838573071553</v>
      </c>
      <c r="J18" s="45">
        <f t="shared" si="1"/>
        <v>4.4630000000000003E-2</v>
      </c>
      <c r="K18" s="10">
        <f t="shared" si="7"/>
        <v>757083.66385075438</v>
      </c>
      <c r="L18" s="10">
        <f t="shared" si="2"/>
        <v>33788.643917659174</v>
      </c>
      <c r="M18" s="10">
        <f t="shared" si="8"/>
        <v>103568.48693492066</v>
      </c>
      <c r="P18" s="7"/>
      <c r="Q18" s="40"/>
      <c r="R18" s="7"/>
    </row>
    <row r="19" spans="3:18" x14ac:dyDescent="0.25">
      <c r="C19" s="2">
        <v>13</v>
      </c>
      <c r="D19" s="2">
        <v>2026</v>
      </c>
      <c r="E19" s="10">
        <f t="shared" si="3"/>
        <v>3339.3615287554358</v>
      </c>
      <c r="F19" s="10">
        <f t="shared" si="4"/>
        <v>2498.1438484741543</v>
      </c>
      <c r="G19" s="10">
        <f t="shared" si="5"/>
        <v>507.29671782501816</v>
      </c>
      <c r="H19" s="10">
        <f t="shared" si="6"/>
        <v>444.83739669600783</v>
      </c>
      <c r="I19" s="10">
        <f t="shared" si="0"/>
        <v>6789.6394917506168</v>
      </c>
      <c r="J19" s="45">
        <f t="shared" si="1"/>
        <v>4.4630000000000003E-2</v>
      </c>
      <c r="K19" s="10">
        <f t="shared" si="7"/>
        <v>753298.24553150067</v>
      </c>
      <c r="L19" s="10">
        <f t="shared" si="2"/>
        <v>33619.700698070876</v>
      </c>
      <c r="M19" s="10">
        <f t="shared" si="8"/>
        <v>130398.54814124091</v>
      </c>
      <c r="P19" s="7"/>
      <c r="Q19" s="40"/>
      <c r="R19" s="7"/>
    </row>
    <row r="20" spans="3:18" x14ac:dyDescent="0.25">
      <c r="C20" s="2">
        <v>14</v>
      </c>
      <c r="D20" s="2">
        <v>2027</v>
      </c>
      <c r="E20" s="10">
        <f t="shared" si="3"/>
        <v>3422.8455669743216</v>
      </c>
      <c r="F20" s="10">
        <f t="shared" si="4"/>
        <v>2648.0324793826035</v>
      </c>
      <c r="G20" s="10">
        <f t="shared" si="5"/>
        <v>517.4426521815185</v>
      </c>
      <c r="H20" s="10">
        <f t="shared" si="6"/>
        <v>458.18251859688809</v>
      </c>
      <c r="I20" s="10">
        <f t="shared" si="0"/>
        <v>7046.5032171353323</v>
      </c>
      <c r="J20" s="45">
        <f t="shared" si="1"/>
        <v>4.4630000000000003E-2</v>
      </c>
      <c r="K20" s="10">
        <f t="shared" si="7"/>
        <v>749531.75430384313</v>
      </c>
      <c r="L20" s="10">
        <f t="shared" si="2"/>
        <v>33451.602194580519</v>
      </c>
      <c r="M20" s="10">
        <f t="shared" si="8"/>
        <v>156803.64711868612</v>
      </c>
      <c r="P20" s="7"/>
      <c r="Q20" s="40"/>
      <c r="R20" s="7"/>
    </row>
    <row r="21" spans="3:18" x14ac:dyDescent="0.25">
      <c r="C21" s="2">
        <v>15</v>
      </c>
      <c r="D21" s="2">
        <v>2028</v>
      </c>
      <c r="E21" s="10">
        <f t="shared" si="3"/>
        <v>3508.4167061486796</v>
      </c>
      <c r="F21" s="10">
        <f t="shared" si="4"/>
        <v>2806.9144281455597</v>
      </c>
      <c r="G21" s="10">
        <f t="shared" si="5"/>
        <v>527.79150522514885</v>
      </c>
      <c r="H21" s="10">
        <f t="shared" si="6"/>
        <v>471.9279941547947</v>
      </c>
      <c r="I21" s="10">
        <f t="shared" si="0"/>
        <v>7315.0506336741837</v>
      </c>
      <c r="J21" s="45">
        <f t="shared" si="1"/>
        <v>4.4630000000000003E-2</v>
      </c>
      <c r="K21" s="10">
        <f t="shared" si="7"/>
        <v>745784.09553232393</v>
      </c>
      <c r="L21" s="10">
        <f t="shared" si="2"/>
        <v>33284.344183607616</v>
      </c>
      <c r="M21" s="10">
        <f t="shared" si="8"/>
        <v>182772.94066861956</v>
      </c>
      <c r="P21" s="36"/>
      <c r="Q21" s="36"/>
      <c r="R21" s="36"/>
    </row>
    <row r="22" spans="3:18" x14ac:dyDescent="0.25">
      <c r="C22" s="2">
        <v>16</v>
      </c>
      <c r="D22" s="2">
        <v>2029</v>
      </c>
      <c r="E22" s="10">
        <f t="shared" si="3"/>
        <v>3596.1271238023965</v>
      </c>
      <c r="F22" s="10">
        <f t="shared" si="4"/>
        <v>2975.3292938342934</v>
      </c>
      <c r="G22" s="10">
        <f t="shared" si="5"/>
        <v>538.34733532965186</v>
      </c>
      <c r="H22" s="10">
        <f t="shared" si="6"/>
        <v>486.08583397943852</v>
      </c>
      <c r="I22" s="10">
        <f t="shared" si="0"/>
        <v>7595.8895869457801</v>
      </c>
      <c r="J22" s="45">
        <f t="shared" si="1"/>
        <v>4.4630000000000003E-2</v>
      </c>
      <c r="K22" s="10">
        <f t="shared" si="7"/>
        <v>742055.17505466228</v>
      </c>
      <c r="L22" s="10">
        <f t="shared" si="2"/>
        <v>33117.922462689581</v>
      </c>
      <c r="M22" s="10">
        <f t="shared" si="8"/>
        <v>208294.97354436337</v>
      </c>
    </row>
    <row r="23" spans="3:18" x14ac:dyDescent="0.25">
      <c r="C23" s="2">
        <v>17</v>
      </c>
      <c r="D23" s="2">
        <v>2030</v>
      </c>
      <c r="E23" s="10">
        <f t="shared" si="3"/>
        <v>3686.0303018974564</v>
      </c>
      <c r="F23" s="10">
        <f t="shared" si="4"/>
        <v>3153.8490514643509</v>
      </c>
      <c r="G23" s="10">
        <f t="shared" si="5"/>
        <v>549.11428203624484</v>
      </c>
      <c r="H23" s="10">
        <f t="shared" si="6"/>
        <v>500.66840899882169</v>
      </c>
      <c r="I23" s="10">
        <f t="shared" si="0"/>
        <v>7889.6620443968741</v>
      </c>
      <c r="J23" s="45">
        <f t="shared" si="1"/>
        <v>4.4630000000000003E-2</v>
      </c>
      <c r="K23" s="10">
        <f t="shared" si="7"/>
        <v>738344.899179389</v>
      </c>
      <c r="L23" s="10">
        <f t="shared" si="2"/>
        <v>32952.332850376137</v>
      </c>
      <c r="M23" s="10">
        <f t="shared" si="8"/>
        <v>233357.64435034263</v>
      </c>
    </row>
    <row r="24" spans="3:18" x14ac:dyDescent="0.25">
      <c r="C24" s="2">
        <v>18</v>
      </c>
      <c r="D24" s="2">
        <v>2031</v>
      </c>
      <c r="E24" s="10">
        <f t="shared" si="3"/>
        <v>3778.181059444893</v>
      </c>
      <c r="F24" s="10">
        <f t="shared" si="4"/>
        <v>3343.0799945522117</v>
      </c>
      <c r="G24" s="10">
        <f t="shared" si="5"/>
        <v>560.0965676769697</v>
      </c>
      <c r="H24" s="10">
        <f t="shared" si="6"/>
        <v>515.68846126878634</v>
      </c>
      <c r="I24" s="10">
        <f t="shared" si="0"/>
        <v>8197.0460829428612</v>
      </c>
      <c r="J24" s="45">
        <f t="shared" si="1"/>
        <v>4.4630000000000003E-2</v>
      </c>
      <c r="K24" s="10">
        <f>K23+K23*$Q$15</f>
        <v>734653.17468349205</v>
      </c>
      <c r="L24" s="10">
        <f t="shared" si="2"/>
        <v>32787.571186124253</v>
      </c>
      <c r="M24" s="10">
        <f t="shared" si="8"/>
        <v>257948.16945352402</v>
      </c>
    </row>
    <row r="25" spans="3:18" x14ac:dyDescent="0.25">
      <c r="C25" s="2">
        <v>19</v>
      </c>
      <c r="D25" s="2">
        <v>2032</v>
      </c>
      <c r="E25" s="10">
        <f t="shared" si="3"/>
        <v>3872.6355859310152</v>
      </c>
      <c r="F25" s="10">
        <f t="shared" si="4"/>
        <v>3543.6647942253444</v>
      </c>
      <c r="G25" s="10">
        <f t="shared" si="5"/>
        <v>571.29849903050911</v>
      </c>
      <c r="H25" s="10">
        <f t="shared" si="6"/>
        <v>531.15911510684998</v>
      </c>
      <c r="I25" s="10">
        <f t="shared" si="0"/>
        <v>8518.7579942937191</v>
      </c>
      <c r="J25" s="45">
        <f t="shared" si="1"/>
        <v>4.4630000000000003E-2</v>
      </c>
      <c r="K25" s="10">
        <f t="shared" si="7"/>
        <v>730979.90881007456</v>
      </c>
      <c r="L25" s="10">
        <f t="shared" si="2"/>
        <v>32623.633330193628</v>
      </c>
      <c r="M25" s="10">
        <f t="shared" si="8"/>
        <v>282053.04478942393</v>
      </c>
    </row>
    <row r="26" spans="3:18" x14ac:dyDescent="0.25">
      <c r="C26" s="2">
        <v>20</v>
      </c>
      <c r="D26" s="2">
        <v>2033</v>
      </c>
      <c r="E26" s="10">
        <f t="shared" si="3"/>
        <v>3969.4514755792907</v>
      </c>
      <c r="F26" s="10">
        <f t="shared" si="4"/>
        <v>3756.2846818788648</v>
      </c>
      <c r="G26" s="10">
        <f t="shared" si="5"/>
        <v>582.72446901111925</v>
      </c>
      <c r="H26" s="10">
        <f t="shared" si="6"/>
        <v>547.09388856005546</v>
      </c>
      <c r="I26" s="10">
        <f t="shared" si="0"/>
        <v>8855.5545150293292</v>
      </c>
      <c r="J26" s="45">
        <f t="shared" si="1"/>
        <v>4.4630000000000003E-2</v>
      </c>
      <c r="K26" s="10">
        <f t="shared" si="7"/>
        <v>727325.00926602422</v>
      </c>
      <c r="L26" s="10">
        <f t="shared" si="2"/>
        <v>32460.515163542663</v>
      </c>
      <c r="M26" s="10">
        <f t="shared" si="8"/>
        <v>305658.00543793727</v>
      </c>
    </row>
    <row r="27" spans="3:18" x14ac:dyDescent="0.25">
      <c r="C27" s="2">
        <v>21</v>
      </c>
      <c r="D27" s="2">
        <v>2034</v>
      </c>
      <c r="E27" s="10">
        <f t="shared" si="3"/>
        <v>4068.6877624687731</v>
      </c>
      <c r="F27" s="10">
        <f t="shared" si="4"/>
        <v>3981.6617627915966</v>
      </c>
      <c r="G27" s="10">
        <f t="shared" si="5"/>
        <v>594.3789583913416</v>
      </c>
      <c r="H27" s="10">
        <f t="shared" si="6"/>
        <v>563.50670521685709</v>
      </c>
      <c r="I27" s="10">
        <f t="shared" si="0"/>
        <v>9208.2351888685698</v>
      </c>
      <c r="J27" s="45">
        <f t="shared" si="1"/>
        <v>4.4630000000000003E-2</v>
      </c>
      <c r="K27" s="10">
        <f t="shared" si="7"/>
        <v>723688.38421969407</v>
      </c>
      <c r="L27" s="10">
        <f t="shared" si="2"/>
        <v>32298.212587724949</v>
      </c>
      <c r="M27" s="10">
        <f t="shared" si="8"/>
        <v>328747.98283679364</v>
      </c>
    </row>
    <row r="28" spans="3:18" x14ac:dyDescent="0.25">
      <c r="C28" s="2">
        <v>22</v>
      </c>
      <c r="D28" s="2">
        <v>2035</v>
      </c>
      <c r="E28" s="10">
        <f t="shared" si="3"/>
        <v>4170.4049565304922</v>
      </c>
      <c r="F28" s="10">
        <f t="shared" si="4"/>
        <v>4220.5614685590926</v>
      </c>
      <c r="G28" s="10">
        <f t="shared" si="5"/>
        <v>606.26653755916846</v>
      </c>
      <c r="H28" s="10">
        <f t="shared" si="6"/>
        <v>580.41190637336285</v>
      </c>
      <c r="I28" s="10">
        <f t="shared" si="0"/>
        <v>9577.644869022115</v>
      </c>
      <c r="J28" s="45">
        <f t="shared" si="1"/>
        <v>4.4630000000000003E-2</v>
      </c>
      <c r="K28" s="10">
        <f t="shared" si="7"/>
        <v>720069.94229859556</v>
      </c>
      <c r="L28" s="10">
        <f>J28*K28</f>
        <v>32136.721524786321</v>
      </c>
      <c r="M28" s="10">
        <f t="shared" si="8"/>
        <v>351307.05949255783</v>
      </c>
    </row>
    <row r="29" spans="3:18" x14ac:dyDescent="0.25">
      <c r="C29" s="2">
        <v>23</v>
      </c>
      <c r="D29" s="2">
        <v>2036</v>
      </c>
      <c r="E29" s="10">
        <f t="shared" si="3"/>
        <v>4274.6650804437541</v>
      </c>
      <c r="F29" s="10">
        <f t="shared" si="4"/>
        <v>4473.7951566726379</v>
      </c>
      <c r="G29" s="10">
        <f t="shared" si="5"/>
        <v>618.39186831035181</v>
      </c>
      <c r="H29" s="10">
        <f t="shared" si="6"/>
        <v>597.82426356456369</v>
      </c>
      <c r="I29" s="10">
        <f t="shared" si="0"/>
        <v>9964.6763689913078</v>
      </c>
      <c r="J29" s="45">
        <f t="shared" si="1"/>
        <v>4.4630000000000003E-2</v>
      </c>
      <c r="K29" s="10">
        <f t="shared" si="7"/>
        <v>716469.59258710255</v>
      </c>
      <c r="L29" s="10">
        <f t="shared" si="2"/>
        <v>31976.03791716239</v>
      </c>
      <c r="M29" s="10">
        <f t="shared" si="8"/>
        <v>373318.42104072892</v>
      </c>
    </row>
    <row r="30" spans="3:18" x14ac:dyDescent="0.25">
      <c r="C30" s="2">
        <v>24</v>
      </c>
      <c r="D30" s="2">
        <v>2037</v>
      </c>
      <c r="E30" s="10">
        <f t="shared" si="3"/>
        <v>4381.5317074548475</v>
      </c>
      <c r="F30" s="10">
        <f t="shared" si="4"/>
        <v>4742.2228660729961</v>
      </c>
      <c r="G30" s="10">
        <f t="shared" si="5"/>
        <v>630.75970567655884</v>
      </c>
      <c r="H30" s="10">
        <f t="shared" si="6"/>
        <v>615.75899147150062</v>
      </c>
      <c r="I30" s="10">
        <f t="shared" si="0"/>
        <v>10370.273270675903</v>
      </c>
      <c r="J30" s="45">
        <f t="shared" si="1"/>
        <v>4.4630000000000003E-2</v>
      </c>
      <c r="K30" s="10">
        <f t="shared" si="7"/>
        <v>712887.2446241671</v>
      </c>
      <c r="L30" s="10">
        <f t="shared" si="2"/>
        <v>31816.157727576581</v>
      </c>
      <c r="M30" s="10">
        <f t="shared" si="8"/>
        <v>394764.30549762957</v>
      </c>
    </row>
    <row r="31" spans="3:18" x14ac:dyDescent="0.25">
      <c r="C31" s="2">
        <v>25</v>
      </c>
      <c r="D31" s="2">
        <v>2038</v>
      </c>
      <c r="E31" s="10">
        <f t="shared" si="3"/>
        <v>4491.0700001412188</v>
      </c>
      <c r="F31" s="10">
        <f t="shared" si="4"/>
        <v>5026.7562380373756</v>
      </c>
      <c r="G31" s="10">
        <f t="shared" si="5"/>
        <v>643.37489979009001</v>
      </c>
      <c r="H31" s="10">
        <f t="shared" si="6"/>
        <v>634.23176121564563</v>
      </c>
      <c r="I31" s="10">
        <f t="shared" si="0"/>
        <v>10795.432899184329</v>
      </c>
      <c r="J31" s="45">
        <f>0.04463</f>
        <v>4.4630000000000003E-2</v>
      </c>
      <c r="K31" s="10">
        <f t="shared" si="7"/>
        <v>709322.80840104632</v>
      </c>
      <c r="L31" s="10">
        <f t="shared" si="2"/>
        <v>31657.076938938699</v>
      </c>
      <c r="M31" s="10">
        <f t="shared" si="8"/>
        <v>415625.94953738392</v>
      </c>
    </row>
    <row r="32" spans="3:18" x14ac:dyDescent="0.25">
      <c r="C32" s="2">
        <v>26</v>
      </c>
      <c r="D32" s="2">
        <v>2039</v>
      </c>
      <c r="E32" s="10">
        <f t="shared" si="3"/>
        <v>4603.3467501447494</v>
      </c>
      <c r="F32" s="10">
        <f t="shared" si="4"/>
        <v>5328.361612319618</v>
      </c>
      <c r="G32" s="10">
        <f t="shared" si="5"/>
        <v>656.24239778589185</v>
      </c>
      <c r="H32" s="10">
        <f t="shared" si="6"/>
        <v>653.25871405211501</v>
      </c>
      <c r="I32" s="10">
        <f t="shared" si="0"/>
        <v>11241.209474302375</v>
      </c>
      <c r="J32" s="45">
        <f t="shared" ref="J32:J35" si="9">0.04463</f>
        <v>4.4630000000000003E-2</v>
      </c>
      <c r="K32" s="10">
        <f t="shared" si="7"/>
        <v>705776.19435904105</v>
      </c>
      <c r="L32" s="10">
        <f t="shared" si="2"/>
        <v>31498.791554244006</v>
      </c>
      <c r="M32" s="10">
        <f t="shared" si="8"/>
        <v>435883.53161732556</v>
      </c>
    </row>
    <row r="33" spans="3:13" x14ac:dyDescent="0.25">
      <c r="C33" s="2">
        <v>27</v>
      </c>
      <c r="D33" s="2">
        <v>2040</v>
      </c>
      <c r="E33" s="10">
        <f t="shared" si="3"/>
        <v>4718.4304188983679</v>
      </c>
      <c r="F33" s="10">
        <f t="shared" si="4"/>
        <v>5648.0633090587953</v>
      </c>
      <c r="G33" s="10">
        <f t="shared" si="5"/>
        <v>669.36724574160974</v>
      </c>
      <c r="H33" s="10">
        <f t="shared" si="6"/>
        <v>672.85647547367842</v>
      </c>
      <c r="I33" s="10">
        <f t="shared" si="0"/>
        <v>11708.717449172453</v>
      </c>
      <c r="J33" s="45">
        <f t="shared" si="9"/>
        <v>4.4630000000000003E-2</v>
      </c>
      <c r="K33" s="10">
        <f t="shared" si="7"/>
        <v>702247.31338724587</v>
      </c>
      <c r="L33" s="10">
        <f t="shared" si="2"/>
        <v>31341.297596472785</v>
      </c>
      <c r="M33" s="10">
        <f t="shared" si="8"/>
        <v>455516.11176462588</v>
      </c>
    </row>
    <row r="34" spans="3:13" x14ac:dyDescent="0.25">
      <c r="C34" s="2">
        <v>28</v>
      </c>
      <c r="D34" s="2">
        <v>2041</v>
      </c>
      <c r="E34" s="10">
        <f t="shared" si="3"/>
        <v>4836.3911793708266</v>
      </c>
      <c r="F34" s="10">
        <f t="shared" si="4"/>
        <v>5986.9471076023228</v>
      </c>
      <c r="G34" s="10">
        <f t="shared" si="5"/>
        <v>682.75459065644191</v>
      </c>
      <c r="H34" s="10">
        <f t="shared" si="6"/>
        <v>693.0421697378888</v>
      </c>
      <c r="I34" s="10">
        <f t="shared" si="0"/>
        <v>12199.135047367479</v>
      </c>
      <c r="J34" s="45">
        <f t="shared" si="9"/>
        <v>4.4630000000000003E-2</v>
      </c>
      <c r="K34" s="10">
        <f t="shared" si="7"/>
        <v>698736.07682030962</v>
      </c>
      <c r="L34" s="10">
        <f t="shared" si="2"/>
        <v>31184.591108490422</v>
      </c>
      <c r="M34" s="10">
        <f t="shared" si="8"/>
        <v>474501.56782574882</v>
      </c>
    </row>
    <row r="35" spans="3:13" x14ac:dyDescent="0.25">
      <c r="C35" s="2">
        <v>29</v>
      </c>
      <c r="D35" s="2">
        <v>2042</v>
      </c>
      <c r="E35" s="10">
        <f t="shared" si="3"/>
        <v>4957.3009588550976</v>
      </c>
      <c r="F35" s="10">
        <f t="shared" si="4"/>
        <v>6346.1639340584625</v>
      </c>
      <c r="G35" s="10">
        <f t="shared" si="5"/>
        <v>696.40968246957073</v>
      </c>
      <c r="H35" s="10">
        <f t="shared" si="6"/>
        <v>713.83343483002545</v>
      </c>
      <c r="I35" s="10">
        <f t="shared" si="0"/>
        <v>12713.708010213157</v>
      </c>
      <c r="J35" s="45">
        <f t="shared" si="9"/>
        <v>4.4630000000000003E-2</v>
      </c>
      <c r="K35" s="10">
        <f t="shared" si="7"/>
        <v>695242.39643620804</v>
      </c>
      <c r="L35" s="10">
        <f t="shared" si="2"/>
        <v>31028.668152947968</v>
      </c>
      <c r="M35" s="10">
        <f t="shared" si="8"/>
        <v>492816.52796848363</v>
      </c>
    </row>
    <row r="36" spans="3:13" x14ac:dyDescent="0.25">
      <c r="C36" s="2">
        <v>30</v>
      </c>
      <c r="D36" s="2">
        <v>2043</v>
      </c>
      <c r="E36" s="10">
        <f t="shared" si="3"/>
        <v>5081.2334828264748</v>
      </c>
      <c r="F36" s="10">
        <f t="shared" si="4"/>
        <v>6726.9337701019704</v>
      </c>
      <c r="G36" s="10">
        <f t="shared" si="5"/>
        <v>710.33787611896219</v>
      </c>
      <c r="H36" s="10">
        <f t="shared" si="6"/>
        <v>735.24843787492625</v>
      </c>
      <c r="I36" s="10">
        <f t="shared" si="0"/>
        <v>13253.753566922333</v>
      </c>
      <c r="J36" s="45">
        <v>2.3900000000000001E-2</v>
      </c>
      <c r="K36" s="10">
        <f t="shared" si="7"/>
        <v>691766.18445402698</v>
      </c>
      <c r="L36" s="10">
        <f t="shared" si="2"/>
        <v>16533.211808451244</v>
      </c>
      <c r="M36" s="10">
        <f t="shared" si="8"/>
        <v>496095.98621001252</v>
      </c>
    </row>
    <row r="37" spans="3:13" x14ac:dyDescent="0.25">
      <c r="C37" s="2">
        <v>31</v>
      </c>
      <c r="D37" s="2">
        <v>2044</v>
      </c>
      <c r="E37" s="10">
        <f t="shared" si="3"/>
        <v>5208.2643198971364</v>
      </c>
      <c r="F37" s="10">
        <f t="shared" si="4"/>
        <v>7130.5497963080888</v>
      </c>
      <c r="G37" s="10">
        <f t="shared" si="5"/>
        <v>724.54463364134142</v>
      </c>
      <c r="H37" s="10">
        <f t="shared" si="6"/>
        <v>757.30589101117403</v>
      </c>
      <c r="I37" s="10">
        <f t="shared" si="0"/>
        <v>13820.66464085774</v>
      </c>
      <c r="J37" s="45">
        <v>2.3900000000000001E-2</v>
      </c>
      <c r="K37" s="10">
        <f t="shared" si="7"/>
        <v>688307.3535317569</v>
      </c>
      <c r="L37" s="10">
        <f t="shared" si="2"/>
        <v>16450.54574940899</v>
      </c>
      <c r="M37" s="10">
        <f t="shared" si="8"/>
        <v>498725.86731856375</v>
      </c>
    </row>
    <row r="38" spans="3:13" x14ac:dyDescent="0.25">
      <c r="C38" s="2">
        <v>32</v>
      </c>
      <c r="D38" s="2">
        <v>2045</v>
      </c>
      <c r="E38" s="10">
        <f t="shared" si="3"/>
        <v>5338.4709278945647</v>
      </c>
      <c r="F38" s="10">
        <f t="shared" si="4"/>
        <v>7558.3827840865742</v>
      </c>
      <c r="G38" s="10">
        <f t="shared" si="5"/>
        <v>739.03552631416824</v>
      </c>
      <c r="H38" s="10">
        <f t="shared" si="6"/>
        <v>780.02506774150925</v>
      </c>
      <c r="I38" s="10">
        <f t="shared" si="0"/>
        <v>14415.914306036817</v>
      </c>
      <c r="J38" s="45">
        <v>2.3900000000000001E-2</v>
      </c>
      <c r="K38" s="10">
        <f t="shared" si="7"/>
        <v>684865.81676409813</v>
      </c>
      <c r="L38" s="10">
        <f t="shared" si="2"/>
        <v>16368.293020661946</v>
      </c>
      <c r="M38" s="10">
        <f t="shared" si="8"/>
        <v>500678.24603318889</v>
      </c>
    </row>
    <row r="39" spans="3:13" x14ac:dyDescent="0.25">
      <c r="C39" s="2">
        <v>33</v>
      </c>
      <c r="D39" s="2">
        <v>2046</v>
      </c>
      <c r="E39" s="10">
        <f t="shared" si="3"/>
        <v>5471.9327010919287</v>
      </c>
      <c r="F39" s="10">
        <f t="shared" si="4"/>
        <v>8011.8857511317683</v>
      </c>
      <c r="G39" s="10">
        <f t="shared" si="5"/>
        <v>753.81623684045155</v>
      </c>
      <c r="H39" s="10">
        <f t="shared" si="6"/>
        <v>803.42581977375448</v>
      </c>
      <c r="I39" s="10">
        <f t="shared" si="0"/>
        <v>15041.060508837903</v>
      </c>
      <c r="J39" s="45">
        <v>2.3900000000000001E-2</v>
      </c>
      <c r="K39" s="10">
        <f t="shared" si="7"/>
        <v>681441.48768027767</v>
      </c>
      <c r="L39" s="10">
        <f t="shared" si="2"/>
        <v>16286.451555558637</v>
      </c>
      <c r="M39" s="10">
        <f t="shared" si="8"/>
        <v>501923.63707990962</v>
      </c>
    </row>
    <row r="40" spans="3:13" x14ac:dyDescent="0.25">
      <c r="C40" s="2">
        <v>34</v>
      </c>
      <c r="D40" s="2">
        <v>2047</v>
      </c>
      <c r="E40" s="10">
        <f t="shared" si="3"/>
        <v>5608.7310186192271</v>
      </c>
      <c r="F40" s="10">
        <f t="shared" si="4"/>
        <v>8492.5988961996736</v>
      </c>
      <c r="G40" s="10">
        <f t="shared" si="5"/>
        <v>768.89256157726061</v>
      </c>
      <c r="H40" s="10">
        <f t="shared" si="6"/>
        <v>827.52859436696713</v>
      </c>
      <c r="I40" s="10">
        <f t="shared" si="0"/>
        <v>15697.751070763128</v>
      </c>
      <c r="J40" s="45">
        <v>2.3900000000000001E-2</v>
      </c>
      <c r="K40" s="10">
        <f t="shared" si="7"/>
        <v>678034.28024187626</v>
      </c>
      <c r="L40" s="10">
        <f t="shared" si="2"/>
        <v>16205.019297780844</v>
      </c>
      <c r="M40" s="10">
        <f t="shared" si="8"/>
        <v>502430.90530692734</v>
      </c>
    </row>
    <row r="41" spans="3:13" x14ac:dyDescent="0.25">
      <c r="C41" s="2">
        <v>35</v>
      </c>
      <c r="D41" s="2">
        <v>2048</v>
      </c>
      <c r="E41" s="10">
        <f t="shared" si="3"/>
        <v>5748.9492940847076</v>
      </c>
      <c r="F41" s="10">
        <f t="shared" si="4"/>
        <v>9002.1548299716542</v>
      </c>
      <c r="G41" s="10">
        <f t="shared" si="5"/>
        <v>784.27041280880587</v>
      </c>
      <c r="H41" s="10">
        <f t="shared" si="6"/>
        <v>852.35445219797612</v>
      </c>
      <c r="I41" s="10">
        <f t="shared" si="0"/>
        <v>16387.728989063144</v>
      </c>
      <c r="J41" s="45">
        <v>2.3900000000000001E-2</v>
      </c>
      <c r="K41" s="10">
        <f t="shared" si="7"/>
        <v>674644.10884066683</v>
      </c>
      <c r="L41" s="10">
        <f t="shared" si="2"/>
        <v>16123.994201291938</v>
      </c>
      <c r="M41" s="10">
        <f t="shared" si="8"/>
        <v>502167.17051915615</v>
      </c>
    </row>
    <row r="42" spans="3:13" x14ac:dyDescent="0.25">
      <c r="C42" s="2">
        <v>36</v>
      </c>
      <c r="D42" s="2">
        <v>2049</v>
      </c>
      <c r="E42" s="10">
        <f t="shared" si="3"/>
        <v>5892.6730264368252</v>
      </c>
      <c r="F42" s="10">
        <f t="shared" si="4"/>
        <v>9542.2841197699527</v>
      </c>
      <c r="G42" s="10">
        <f t="shared" si="5"/>
        <v>799.95582106498205</v>
      </c>
      <c r="H42" s="10">
        <f t="shared" si="6"/>
        <v>877.92508576391538</v>
      </c>
      <c r="I42" s="10">
        <f t="shared" si="0"/>
        <v>17112.838053035677</v>
      </c>
      <c r="J42" s="45">
        <v>2.3900000000000001E-2</v>
      </c>
      <c r="K42" s="10">
        <f t="shared" si="7"/>
        <v>671270.88829646353</v>
      </c>
      <c r="L42" s="10">
        <f t="shared" si="2"/>
        <v>16043.374230285479</v>
      </c>
      <c r="M42" s="10">
        <f t="shared" si="8"/>
        <v>501097.70669640595</v>
      </c>
    </row>
    <row r="43" spans="3:13" x14ac:dyDescent="0.25">
      <c r="C43" s="2">
        <v>37</v>
      </c>
      <c r="D43" s="2">
        <v>2050</v>
      </c>
      <c r="E43" s="10">
        <f t="shared" si="3"/>
        <v>6039.9898520977458</v>
      </c>
      <c r="F43" s="10">
        <f t="shared" si="4"/>
        <v>10114.82116695615</v>
      </c>
      <c r="G43" s="10">
        <f t="shared" si="5"/>
        <v>815.95493748628166</v>
      </c>
      <c r="H43" s="10">
        <f t="shared" si="6"/>
        <v>904.26283833683283</v>
      </c>
      <c r="I43" s="10">
        <f t="shared" si="0"/>
        <v>17875.028794877009</v>
      </c>
      <c r="J43" s="45">
        <v>2.3900000000000001E-2</v>
      </c>
      <c r="K43" s="10">
        <f t="shared" si="7"/>
        <v>667914.53385498119</v>
      </c>
      <c r="L43" s="10">
        <f t="shared" si="2"/>
        <v>15963.157359134051</v>
      </c>
      <c r="M43" s="10">
        <f t="shared" si="8"/>
        <v>499185.83526066301</v>
      </c>
    </row>
    <row r="44" spans="3:13" x14ac:dyDescent="0.25">
      <c r="C44" s="2">
        <v>38</v>
      </c>
      <c r="D44" s="2">
        <v>2051</v>
      </c>
      <c r="E44" s="10">
        <f t="shared" si="3"/>
        <v>6190.9895984001896</v>
      </c>
      <c r="F44" s="10">
        <f t="shared" si="4"/>
        <v>10721.710436973519</v>
      </c>
      <c r="G44" s="10">
        <f t="shared" si="5"/>
        <v>832.2740362360073</v>
      </c>
      <c r="H44" s="10">
        <f t="shared" si="6"/>
        <v>931.39072348693776</v>
      </c>
      <c r="I44" s="10">
        <f t="shared" si="0"/>
        <v>18676.364795096652</v>
      </c>
      <c r="J44" s="45">
        <v>2.3900000000000001E-2</v>
      </c>
      <c r="K44" s="10">
        <f t="shared" si="7"/>
        <v>664574.96118570631</v>
      </c>
      <c r="L44" s="10">
        <f t="shared" si="2"/>
        <v>15883.341572338382</v>
      </c>
      <c r="M44" s="10">
        <f t="shared" si="8"/>
        <v>496392.81203790475</v>
      </c>
    </row>
    <row r="45" spans="3:13" x14ac:dyDescent="0.25">
      <c r="C45" s="2">
        <v>39</v>
      </c>
      <c r="D45" s="2">
        <v>2052</v>
      </c>
      <c r="E45" s="10">
        <f t="shared" si="3"/>
        <v>6345.7643383601944</v>
      </c>
      <c r="F45" s="10">
        <f t="shared" si="4"/>
        <v>11365.013063191929</v>
      </c>
      <c r="G45" s="10">
        <f t="shared" si="5"/>
        <v>848.91951696072749</v>
      </c>
      <c r="H45" s="10">
        <f t="shared" si="6"/>
        <v>959.33244519154584</v>
      </c>
      <c r="I45" s="10">
        <f t="shared" si="0"/>
        <v>19519.029363704398</v>
      </c>
      <c r="J45" s="45">
        <v>2.3900000000000001E-2</v>
      </c>
      <c r="K45" s="10">
        <f t="shared" si="7"/>
        <v>661252.08637977776</v>
      </c>
      <c r="L45" s="10">
        <f t="shared" si="2"/>
        <v>15803.924864476689</v>
      </c>
      <c r="M45" s="10">
        <f t="shared" si="8"/>
        <v>492677.70753867703</v>
      </c>
    </row>
    <row r="46" spans="3:13" x14ac:dyDescent="0.25">
      <c r="C46" s="2">
        <v>40</v>
      </c>
      <c r="D46" s="2">
        <v>2053</v>
      </c>
      <c r="E46" s="10">
        <f t="shared" si="3"/>
        <v>6504.4084468191995</v>
      </c>
      <c r="F46" s="10">
        <f t="shared" si="4"/>
        <v>12046.913846983445</v>
      </c>
      <c r="G46" s="10">
        <f t="shared" si="5"/>
        <v>865.89790729994206</v>
      </c>
      <c r="H46" s="10">
        <f t="shared" si="6"/>
        <v>988.11241854729224</v>
      </c>
      <c r="I46" s="10">
        <f t="shared" si="0"/>
        <v>20405.332619649878</v>
      </c>
      <c r="J46" s="45">
        <v>2.3900000000000001E-2</v>
      </c>
      <c r="K46" s="10">
        <f t="shared" si="7"/>
        <v>657945.82594787888</v>
      </c>
      <c r="L46" s="10">
        <f t="shared" si="2"/>
        <v>15724.905240154307</v>
      </c>
      <c r="M46" s="10">
        <f t="shared" si="8"/>
        <v>487997.28015918145</v>
      </c>
    </row>
    <row r="50" spans="3:13" x14ac:dyDescent="0.25">
      <c r="E50" s="60" t="s">
        <v>2</v>
      </c>
      <c r="F50" s="60"/>
      <c r="G50" s="60"/>
      <c r="H50" s="60"/>
      <c r="I50" s="60"/>
      <c r="J50" s="60" t="s">
        <v>3</v>
      </c>
      <c r="K50" s="60"/>
      <c r="L50" s="60"/>
    </row>
    <row r="51" spans="3:13" ht="22.5" x14ac:dyDescent="0.25">
      <c r="E51" s="43" t="s">
        <v>73</v>
      </c>
      <c r="F51" s="62"/>
      <c r="G51" s="63"/>
      <c r="H51" s="63"/>
      <c r="I51" s="64"/>
      <c r="J51" s="60"/>
      <c r="K51" s="60"/>
      <c r="L51" s="60"/>
    </row>
    <row r="52" spans="3:13" x14ac:dyDescent="0.25">
      <c r="E52" s="50">
        <f>E5</f>
        <v>248300.19170000005</v>
      </c>
      <c r="F52" s="65"/>
      <c r="G52" s="66"/>
      <c r="H52" s="66"/>
      <c r="I52" s="67"/>
      <c r="J52" s="61"/>
      <c r="K52" s="61"/>
      <c r="L52" s="61"/>
    </row>
    <row r="53" spans="3:13" ht="33.75" x14ac:dyDescent="0.25">
      <c r="C53" s="44" t="s">
        <v>4</v>
      </c>
      <c r="D53" s="43" t="s">
        <v>79</v>
      </c>
      <c r="E53" s="43" t="s">
        <v>61</v>
      </c>
      <c r="F53" s="43" t="s">
        <v>62</v>
      </c>
      <c r="G53" s="43" t="s">
        <v>78</v>
      </c>
      <c r="H53" s="43" t="s">
        <v>77</v>
      </c>
      <c r="I53" s="43" t="s">
        <v>76</v>
      </c>
      <c r="J53" s="43" t="s">
        <v>75</v>
      </c>
      <c r="K53" s="43" t="s">
        <v>56</v>
      </c>
      <c r="L53" s="43" t="s">
        <v>74</v>
      </c>
      <c r="M53" s="43" t="s">
        <v>72</v>
      </c>
    </row>
    <row r="54" spans="3:13" x14ac:dyDescent="0.25">
      <c r="C54" s="2">
        <v>31</v>
      </c>
      <c r="D54" s="2">
        <v>2044</v>
      </c>
      <c r="E54" s="10">
        <f t="shared" ref="E54:M54" si="10">E37</f>
        <v>5208.2643198971364</v>
      </c>
      <c r="F54" s="10">
        <f t="shared" si="10"/>
        <v>7130.5497963080888</v>
      </c>
      <c r="G54" s="10">
        <f t="shared" si="10"/>
        <v>724.54463364134142</v>
      </c>
      <c r="H54" s="10">
        <f t="shared" si="10"/>
        <v>757.30589101117403</v>
      </c>
      <c r="I54" s="10">
        <f t="shared" si="10"/>
        <v>13820.66464085774</v>
      </c>
      <c r="J54" s="45">
        <f t="shared" si="10"/>
        <v>2.3900000000000001E-2</v>
      </c>
      <c r="K54" s="10">
        <f t="shared" si="10"/>
        <v>688307.3535317569</v>
      </c>
      <c r="L54" s="10">
        <f t="shared" si="10"/>
        <v>16450.54574940899</v>
      </c>
      <c r="M54" s="10">
        <f t="shared" si="10"/>
        <v>498725.86731856375</v>
      </c>
    </row>
    <row r="55" spans="3:13" x14ac:dyDescent="0.25">
      <c r="C55" s="2">
        <v>32</v>
      </c>
      <c r="D55" s="2">
        <v>2045</v>
      </c>
      <c r="E55" s="10">
        <f t="shared" ref="E55:M63" si="11">E38</f>
        <v>5338.4709278945647</v>
      </c>
      <c r="F55" s="10">
        <f t="shared" si="11"/>
        <v>7558.3827840865742</v>
      </c>
      <c r="G55" s="10">
        <f t="shared" si="11"/>
        <v>739.03552631416824</v>
      </c>
      <c r="H55" s="10">
        <f t="shared" si="11"/>
        <v>780.02506774150925</v>
      </c>
      <c r="I55" s="10">
        <f t="shared" si="11"/>
        <v>14415.914306036817</v>
      </c>
      <c r="J55" s="45">
        <f t="shared" si="11"/>
        <v>2.3900000000000001E-2</v>
      </c>
      <c r="K55" s="10">
        <f t="shared" si="11"/>
        <v>684865.81676409813</v>
      </c>
      <c r="L55" s="10">
        <f t="shared" si="11"/>
        <v>16368.293020661946</v>
      </c>
      <c r="M55" s="10">
        <f t="shared" si="11"/>
        <v>500678.24603318889</v>
      </c>
    </row>
    <row r="56" spans="3:13" x14ac:dyDescent="0.25">
      <c r="C56" s="2">
        <v>33</v>
      </c>
      <c r="D56" s="2">
        <v>2046</v>
      </c>
      <c r="E56" s="10">
        <f t="shared" si="11"/>
        <v>5471.9327010919287</v>
      </c>
      <c r="F56" s="10">
        <f t="shared" si="11"/>
        <v>8011.8857511317683</v>
      </c>
      <c r="G56" s="10">
        <f t="shared" si="11"/>
        <v>753.81623684045155</v>
      </c>
      <c r="H56" s="10">
        <f t="shared" si="11"/>
        <v>803.42581977375448</v>
      </c>
      <c r="I56" s="10">
        <f t="shared" si="11"/>
        <v>15041.060508837903</v>
      </c>
      <c r="J56" s="45">
        <f t="shared" si="11"/>
        <v>2.3900000000000001E-2</v>
      </c>
      <c r="K56" s="10">
        <f t="shared" si="11"/>
        <v>681441.48768027767</v>
      </c>
      <c r="L56" s="10">
        <f t="shared" si="11"/>
        <v>16286.451555558637</v>
      </c>
      <c r="M56" s="10">
        <f t="shared" si="11"/>
        <v>501923.63707990962</v>
      </c>
    </row>
    <row r="57" spans="3:13" x14ac:dyDescent="0.25">
      <c r="C57" s="2">
        <v>34</v>
      </c>
      <c r="D57" s="2">
        <v>2047</v>
      </c>
      <c r="E57" s="10">
        <f t="shared" si="11"/>
        <v>5608.7310186192271</v>
      </c>
      <c r="F57" s="10">
        <f t="shared" si="11"/>
        <v>8492.5988961996736</v>
      </c>
      <c r="G57" s="10">
        <f t="shared" si="11"/>
        <v>768.89256157726061</v>
      </c>
      <c r="H57" s="10">
        <f t="shared" si="11"/>
        <v>827.52859436696713</v>
      </c>
      <c r="I57" s="10">
        <f t="shared" si="11"/>
        <v>15697.751070763128</v>
      </c>
      <c r="J57" s="45">
        <f t="shared" si="11"/>
        <v>2.3900000000000001E-2</v>
      </c>
      <c r="K57" s="10">
        <f t="shared" si="11"/>
        <v>678034.28024187626</v>
      </c>
      <c r="L57" s="10">
        <f t="shared" si="11"/>
        <v>16205.019297780844</v>
      </c>
      <c r="M57" s="10">
        <f t="shared" si="11"/>
        <v>502430.90530692734</v>
      </c>
    </row>
    <row r="58" spans="3:13" x14ac:dyDescent="0.25">
      <c r="C58" s="47">
        <v>35</v>
      </c>
      <c r="D58" s="47">
        <v>2048</v>
      </c>
      <c r="E58" s="48">
        <f t="shared" si="11"/>
        <v>5748.9492940847076</v>
      </c>
      <c r="F58" s="48">
        <f t="shared" si="11"/>
        <v>9002.1548299716542</v>
      </c>
      <c r="G58" s="48">
        <f t="shared" si="11"/>
        <v>784.27041280880587</v>
      </c>
      <c r="H58" s="48">
        <f t="shared" si="11"/>
        <v>852.35445219797612</v>
      </c>
      <c r="I58" s="48">
        <f t="shared" si="11"/>
        <v>16387.728989063144</v>
      </c>
      <c r="J58" s="49">
        <f t="shared" si="11"/>
        <v>2.3900000000000001E-2</v>
      </c>
      <c r="K58" s="48">
        <f t="shared" si="11"/>
        <v>674644.10884066683</v>
      </c>
      <c r="L58" s="48">
        <f t="shared" si="11"/>
        <v>16123.994201291938</v>
      </c>
      <c r="M58" s="48">
        <f t="shared" si="11"/>
        <v>502167.17051915615</v>
      </c>
    </row>
    <row r="59" spans="3:13" x14ac:dyDescent="0.25">
      <c r="C59" s="2">
        <v>36</v>
      </c>
      <c r="D59" s="2">
        <v>2049</v>
      </c>
      <c r="E59" s="10">
        <f t="shared" si="11"/>
        <v>5892.6730264368252</v>
      </c>
      <c r="F59" s="10">
        <f t="shared" si="11"/>
        <v>9542.2841197699527</v>
      </c>
      <c r="G59" s="10">
        <f t="shared" si="11"/>
        <v>799.95582106498205</v>
      </c>
      <c r="H59" s="10">
        <f t="shared" si="11"/>
        <v>877.92508576391538</v>
      </c>
      <c r="I59" s="10">
        <f t="shared" si="11"/>
        <v>17112.838053035677</v>
      </c>
      <c r="J59" s="45">
        <f t="shared" si="11"/>
        <v>2.3900000000000001E-2</v>
      </c>
      <c r="K59" s="10">
        <f t="shared" si="11"/>
        <v>671270.88829646353</v>
      </c>
      <c r="L59" s="10">
        <f t="shared" si="11"/>
        <v>16043.374230285479</v>
      </c>
      <c r="M59" s="10">
        <f t="shared" si="11"/>
        <v>501097.70669640595</v>
      </c>
    </row>
    <row r="60" spans="3:13" x14ac:dyDescent="0.25">
      <c r="C60" s="2">
        <v>37</v>
      </c>
      <c r="D60" s="2">
        <v>2050</v>
      </c>
      <c r="E60" s="10">
        <f t="shared" si="11"/>
        <v>6039.9898520977458</v>
      </c>
      <c r="F60" s="10">
        <f t="shared" si="11"/>
        <v>10114.82116695615</v>
      </c>
      <c r="G60" s="10">
        <f t="shared" si="11"/>
        <v>815.95493748628166</v>
      </c>
      <c r="H60" s="10">
        <f t="shared" si="11"/>
        <v>904.26283833683283</v>
      </c>
      <c r="I60" s="10">
        <f t="shared" si="11"/>
        <v>17875.028794877009</v>
      </c>
      <c r="J60" s="45">
        <f t="shared" si="11"/>
        <v>2.3900000000000001E-2</v>
      </c>
      <c r="K60" s="10">
        <f t="shared" si="11"/>
        <v>667914.53385498119</v>
      </c>
      <c r="L60" s="10">
        <f t="shared" si="11"/>
        <v>15963.157359134051</v>
      </c>
      <c r="M60" s="10">
        <f t="shared" si="11"/>
        <v>499185.83526066301</v>
      </c>
    </row>
    <row r="61" spans="3:13" x14ac:dyDescent="0.25">
      <c r="C61" s="2">
        <v>38</v>
      </c>
      <c r="D61" s="2">
        <v>2051</v>
      </c>
      <c r="E61" s="10">
        <f t="shared" si="11"/>
        <v>6190.9895984001896</v>
      </c>
      <c r="F61" s="10">
        <f t="shared" si="11"/>
        <v>10721.710436973519</v>
      </c>
      <c r="G61" s="10">
        <f t="shared" si="11"/>
        <v>832.2740362360073</v>
      </c>
      <c r="H61" s="10">
        <f t="shared" si="11"/>
        <v>931.39072348693776</v>
      </c>
      <c r="I61" s="10">
        <f t="shared" si="11"/>
        <v>18676.364795096652</v>
      </c>
      <c r="J61" s="45">
        <f t="shared" si="11"/>
        <v>2.3900000000000001E-2</v>
      </c>
      <c r="K61" s="10">
        <f t="shared" si="11"/>
        <v>664574.96118570631</v>
      </c>
      <c r="L61" s="10">
        <f t="shared" si="11"/>
        <v>15883.341572338382</v>
      </c>
      <c r="M61" s="10">
        <f t="shared" si="11"/>
        <v>496392.81203790475</v>
      </c>
    </row>
    <row r="62" spans="3:13" x14ac:dyDescent="0.25">
      <c r="C62" s="2">
        <v>39</v>
      </c>
      <c r="D62" s="2">
        <v>2052</v>
      </c>
      <c r="E62" s="10">
        <f t="shared" si="11"/>
        <v>6345.7643383601944</v>
      </c>
      <c r="F62" s="10">
        <f t="shared" si="11"/>
        <v>11365.013063191929</v>
      </c>
      <c r="G62" s="10">
        <f t="shared" si="11"/>
        <v>848.91951696072749</v>
      </c>
      <c r="H62" s="10">
        <f t="shared" si="11"/>
        <v>959.33244519154584</v>
      </c>
      <c r="I62" s="10">
        <f t="shared" si="11"/>
        <v>19519.029363704398</v>
      </c>
      <c r="J62" s="45">
        <f t="shared" si="11"/>
        <v>2.3900000000000001E-2</v>
      </c>
      <c r="K62" s="10">
        <f t="shared" si="11"/>
        <v>661252.08637977776</v>
      </c>
      <c r="L62" s="10">
        <f t="shared" si="11"/>
        <v>15803.924864476689</v>
      </c>
      <c r="M62" s="10">
        <f t="shared" si="11"/>
        <v>492677.70753867703</v>
      </c>
    </row>
    <row r="63" spans="3:13" x14ac:dyDescent="0.25">
      <c r="C63" s="2">
        <v>40</v>
      </c>
      <c r="D63" s="2">
        <v>2053</v>
      </c>
      <c r="E63" s="10">
        <f t="shared" si="11"/>
        <v>6504.4084468191995</v>
      </c>
      <c r="F63" s="10">
        <f t="shared" si="11"/>
        <v>12046.913846983445</v>
      </c>
      <c r="G63" s="10">
        <f t="shared" si="11"/>
        <v>865.89790729994206</v>
      </c>
      <c r="H63" s="10">
        <f t="shared" si="11"/>
        <v>988.11241854729224</v>
      </c>
      <c r="I63" s="10">
        <f t="shared" si="11"/>
        <v>20405.332619649878</v>
      </c>
      <c r="J63" s="45">
        <f t="shared" si="11"/>
        <v>2.3900000000000001E-2</v>
      </c>
      <c r="K63" s="10">
        <f t="shared" si="11"/>
        <v>657945.82594787888</v>
      </c>
      <c r="L63" s="10">
        <f t="shared" si="11"/>
        <v>15724.905240154307</v>
      </c>
      <c r="M63" s="10">
        <f t="shared" si="11"/>
        <v>487997.28015918145</v>
      </c>
    </row>
  </sheetData>
  <mergeCells count="7">
    <mergeCell ref="E3:I3"/>
    <mergeCell ref="J3:L5"/>
    <mergeCell ref="P7:R7"/>
    <mergeCell ref="F4:I5"/>
    <mergeCell ref="E50:I50"/>
    <mergeCell ref="J50:L52"/>
    <mergeCell ref="F51:I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Inversió inicial</vt:lpstr>
      <vt:lpstr>Taula total amortització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</dc:creator>
  <cp:lastModifiedBy>Rubén</cp:lastModifiedBy>
  <dcterms:created xsi:type="dcterms:W3CDTF">2015-05-27T17:58:12Z</dcterms:created>
  <dcterms:modified xsi:type="dcterms:W3CDTF">2015-07-19T10:17:41Z</dcterms:modified>
</cp:coreProperties>
</file>